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Total!$A$4:$Y$4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18">ALOS!$A$1:$M$45</definedName>
    <definedName name="_xlnm.Print_Area" localSheetId="17">CaseMix!$A$1:$O$39</definedName>
  </definedNames>
  <calcPr calcId="152511"/>
</workbook>
</file>

<file path=xl/calcChain.xml><?xml version="1.0" encoding="utf-8"?>
<calcChain xmlns="http://schemas.openxmlformats.org/spreadsheetml/2006/main">
  <c r="T91" i="371" l="1"/>
  <c r="S91" i="371"/>
  <c r="T90" i="371"/>
  <c r="S90" i="371"/>
  <c r="T89" i="371"/>
  <c r="S89" i="371"/>
  <c r="T88" i="371"/>
  <c r="S88" i="371"/>
  <c r="T87" i="371"/>
  <c r="S87" i="371"/>
  <c r="T86" i="371"/>
  <c r="S86" i="371"/>
  <c r="T85" i="371"/>
  <c r="S85" i="371"/>
  <c r="T84" i="371"/>
  <c r="S84" i="371"/>
  <c r="T83" i="37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91" i="371"/>
  <c r="Q91" i="371"/>
  <c r="R90" i="371"/>
  <c r="Q90" i="371"/>
  <c r="R89" i="371"/>
  <c r="Q89" i="371"/>
  <c r="R88" i="371"/>
  <c r="Q88" i="371"/>
  <c r="R87" i="371"/>
  <c r="Q87" i="371"/>
  <c r="R86" i="371"/>
  <c r="Q86" i="371"/>
  <c r="R85" i="371"/>
  <c r="Q85" i="371"/>
  <c r="R84" i="371"/>
  <c r="Q84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D10" i="431"/>
  <c r="D14" i="431"/>
  <c r="D18" i="431"/>
  <c r="E11" i="431"/>
  <c r="E15" i="431"/>
  <c r="E19" i="431"/>
  <c r="F12" i="431"/>
  <c r="F16" i="431"/>
  <c r="G9" i="431"/>
  <c r="G13" i="431"/>
  <c r="G17" i="431"/>
  <c r="H10" i="431"/>
  <c r="H14" i="431"/>
  <c r="H18" i="431"/>
  <c r="I11" i="431"/>
  <c r="I15" i="431"/>
  <c r="I19" i="431"/>
  <c r="J12" i="431"/>
  <c r="J16" i="431"/>
  <c r="K9" i="431"/>
  <c r="K13" i="431"/>
  <c r="L10" i="431"/>
  <c r="L14" i="431"/>
  <c r="M11" i="431"/>
  <c r="M19" i="431"/>
  <c r="N16" i="431"/>
  <c r="O13" i="431"/>
  <c r="P10" i="431"/>
  <c r="P18" i="431"/>
  <c r="Q15" i="431"/>
  <c r="C14" i="431"/>
  <c r="C18" i="431"/>
  <c r="D15" i="431"/>
  <c r="E12" i="431"/>
  <c r="F9" i="431"/>
  <c r="F17" i="431"/>
  <c r="G14" i="431"/>
  <c r="H15" i="431"/>
  <c r="I12" i="431"/>
  <c r="J9" i="431"/>
  <c r="J17" i="431"/>
  <c r="K14" i="431"/>
  <c r="L11" i="431"/>
  <c r="L19" i="431"/>
  <c r="M16" i="431"/>
  <c r="N13" i="431"/>
  <c r="O10" i="431"/>
  <c r="O18" i="431"/>
  <c r="P11" i="431"/>
  <c r="P19" i="431"/>
  <c r="Q16" i="431"/>
  <c r="C15" i="431"/>
  <c r="D12" i="431"/>
  <c r="E9" i="431"/>
  <c r="E13" i="431"/>
  <c r="F10" i="431"/>
  <c r="F18" i="431"/>
  <c r="G15" i="431"/>
  <c r="H16" i="431"/>
  <c r="I13" i="431"/>
  <c r="J10" i="431"/>
  <c r="J18" i="431"/>
  <c r="K15" i="431"/>
  <c r="L12" i="431"/>
  <c r="M9" i="431"/>
  <c r="M17" i="431"/>
  <c r="N14" i="431"/>
  <c r="O11" i="431"/>
  <c r="O19" i="431"/>
  <c r="P16" i="431"/>
  <c r="Q13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K17" i="431"/>
  <c r="L18" i="431"/>
  <c r="M15" i="431"/>
  <c r="N12" i="431"/>
  <c r="O9" i="431"/>
  <c r="O17" i="431"/>
  <c r="P14" i="431"/>
  <c r="Q11" i="431"/>
  <c r="Q19" i="431"/>
  <c r="C10" i="431"/>
  <c r="D11" i="431"/>
  <c r="D19" i="431"/>
  <c r="E16" i="431"/>
  <c r="F13" i="431"/>
  <c r="G10" i="431"/>
  <c r="G18" i="431"/>
  <c r="H11" i="431"/>
  <c r="H19" i="431"/>
  <c r="I16" i="431"/>
  <c r="J13" i="431"/>
  <c r="K10" i="431"/>
  <c r="K18" i="431"/>
  <c r="L15" i="431"/>
  <c r="M12" i="431"/>
  <c r="N9" i="431"/>
  <c r="N17" i="431"/>
  <c r="O14" i="431"/>
  <c r="P15" i="431"/>
  <c r="Q12" i="431"/>
  <c r="C11" i="431"/>
  <c r="C19" i="431"/>
  <c r="D16" i="431"/>
  <c r="E17" i="431"/>
  <c r="F14" i="431"/>
  <c r="G11" i="431"/>
  <c r="G19" i="431"/>
  <c r="H12" i="431"/>
  <c r="I9" i="431"/>
  <c r="I17" i="431"/>
  <c r="J14" i="431"/>
  <c r="K11" i="431"/>
  <c r="K19" i="431"/>
  <c r="L16" i="431"/>
  <c r="M13" i="431"/>
  <c r="N10" i="431"/>
  <c r="N18" i="431"/>
  <c r="O15" i="431"/>
  <c r="P12" i="431"/>
  <c r="Q9" i="431"/>
  <c r="Q17" i="431"/>
  <c r="O8" i="431"/>
  <c r="J8" i="431"/>
  <c r="G8" i="431"/>
  <c r="P8" i="431"/>
  <c r="D8" i="431"/>
  <c r="I8" i="431"/>
  <c r="E8" i="431"/>
  <c r="H8" i="431"/>
  <c r="K8" i="431"/>
  <c r="L8" i="431"/>
  <c r="F8" i="431"/>
  <c r="M8" i="431"/>
  <c r="N8" i="431"/>
  <c r="Q8" i="431"/>
  <c r="C8" i="431"/>
  <c r="S17" i="431" l="1"/>
  <c r="R17" i="431"/>
  <c r="S9" i="431"/>
  <c r="R9" i="431"/>
  <c r="S12" i="431"/>
  <c r="R12" i="431"/>
  <c r="R19" i="431"/>
  <c r="S19" i="431"/>
  <c r="R11" i="431"/>
  <c r="S11" i="431"/>
  <c r="R18" i="431"/>
  <c r="S18" i="431"/>
  <c r="S14" i="431"/>
  <c r="R14" i="431"/>
  <c r="R10" i="431"/>
  <c r="S10" i="431"/>
  <c r="S13" i="431"/>
  <c r="R13" i="431"/>
  <c r="R16" i="431"/>
  <c r="S16" i="431"/>
  <c r="S15" i="431"/>
  <c r="R15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E11" i="339" l="1"/>
  <c r="C11" i="339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0" i="414" l="1"/>
  <c r="A21" i="414"/>
  <c r="A23" i="414"/>
  <c r="A22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3" i="414" s="1"/>
  <c r="E23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0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6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 l="1"/>
  <c r="A17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6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G3" i="410" l="1"/>
  <c r="D18" i="414"/>
  <c r="M3" i="410"/>
  <c r="B11" i="339"/>
  <c r="J11" i="339" s="1"/>
  <c r="I11" i="339" l="1"/>
  <c r="F11" i="339"/>
  <c r="H11" i="339" l="1"/>
  <c r="G11" i="339"/>
  <c r="A25" i="414"/>
  <c r="A18" i="414"/>
  <c r="A13" i="414"/>
  <c r="A14" i="414"/>
  <c r="A4" i="414"/>
  <c r="A6" i="339" l="1"/>
  <c r="A5" i="339"/>
  <c r="C17" i="414"/>
  <c r="C14" i="414"/>
  <c r="D14" i="414"/>
  <c r="D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2" i="414" l="1"/>
  <c r="E22" i="414" s="1"/>
  <c r="E12" i="339"/>
  <c r="D21" i="414"/>
  <c r="E21" i="414" s="1"/>
  <c r="C12" i="339"/>
  <c r="F12" i="339" s="1"/>
  <c r="E20" i="414"/>
  <c r="B12" i="339"/>
  <c r="J12" i="339" s="1"/>
  <c r="D24" i="414"/>
  <c r="E24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M3" i="387"/>
  <c r="L3" i="387"/>
  <c r="J3" i="387"/>
  <c r="I3" i="387"/>
  <c r="G3" i="387"/>
  <c r="H3" i="387" s="1"/>
  <c r="F3" i="387"/>
  <c r="N3" i="220"/>
  <c r="L3" i="220" s="1"/>
  <c r="C19" i="414"/>
  <c r="D19" i="414"/>
  <c r="N3" i="372" l="1"/>
  <c r="F3" i="372"/>
  <c r="K3" i="387"/>
  <c r="I12" i="339"/>
  <c r="I13" i="339" s="1"/>
  <c r="C26" i="414"/>
  <c r="E26" i="414" s="1"/>
  <c r="F13" i="339"/>
  <c r="E13" i="339"/>
  <c r="E15" i="339" s="1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6" i="414"/>
  <c r="C4" i="414"/>
  <c r="H13" i="339" l="1"/>
  <c r="F15" i="339"/>
  <c r="J13" i="339"/>
  <c r="B15" i="339"/>
  <c r="D25" i="414"/>
  <c r="E25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<sst xmlns="http://schemas.openxmlformats.org/spreadsheetml/2006/main" count="16550" uniqueCount="5135">
  <si>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</si>
  <si>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</si>
  <si>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</si>
  <si>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</si>
  <si>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</si>
  <si>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</si>
  <si>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</si>
  <si>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</si>
  <si>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</si>
  <si>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</si>
  <si>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</si>
  <si>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</si>
  <si>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</si>
  <si>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</si>
  <si>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</si>
  <si>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</si>
  <si>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</si>
  <si>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</si>
  <si>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</si>
  <si>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</si>
  <si>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</si>
  <si>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</si>
  <si>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</si>
  <si>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</si>
  <si>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</si>
  <si>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</si>
  <si>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</si>
  <si>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</si>
  <si>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</si>
  <si>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</si>
  <si>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</si>
  <si>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</si>
  <si>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</si>
  <si>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</si>
  <si>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</si>
  <si>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</si>
  <si>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</si>
  <si>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</si>
  <si>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</si>
  <si>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</si>
  <si>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</si>
  <si>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</si>
  <si>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</si>
  <si>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</si>
  <si>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</si>
  <si>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</si>
  <si>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</si>
  <si>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</si>
  <si>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</si>
  <si>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</si>
  <si>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</si>
  <si>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</si>
  <si>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</si>
  <si>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</si>
  <si>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</si>
  <si>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</si>
  <si>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</si>
  <si>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</si>
  <si>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</si>
  <si>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</si>
  <si>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</si>
  <si>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</si>
  <si>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</si>
  <si>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</si>
  <si>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</si>
  <si>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</si>
  <si>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</si>
  <si>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</si>
  <si>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</si>
  <si>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</si>
  <si>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</si>
  <si>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</si>
  <si>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</si>
  <si>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</si>
  <si>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</si>
  <si>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</si>
  <si>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</si>
  <si>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</si>
  <si>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</si>
  <si>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</si>
  <si>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</si>
  <si>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</si>
  <si>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</si>
  <si>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</si>
  <si>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</si>
  <si>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</si>
  <si>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</si>
  <si>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</si>
  <si>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</si>
  <si>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</si>
  <si>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</si>
  <si>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</si>
  <si>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</si>
  <si>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</si>
  <si>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</si>
  <si>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</si>
  <si>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</si>
  <si>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</si>
  <si>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</si>
  <si>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</si>
  <si>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</si>
  <si>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</si>
  <si>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</si>
  <si>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</si>
  <si>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</si>
  <si>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</si>
  <si>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</si>
  <si>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</si>
  <si>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</si>
  <si>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</si>
  <si>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</si>
  <si>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</si>
  <si>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</si>
  <si>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</si>
  <si>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</si>
  <si>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</si>
  <si>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</si>
  <si>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</si>
  <si>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</si>
  <si>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</si>
  <si>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</si>
  <si>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</si>
  <si>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</si>
  <si>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</si>
  <si>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</si>
  <si>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</si>
  <si>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</si>
  <si>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</si>
  <si>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</si>
  <si>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</si>
  <si>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</si>
  <si>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</si>
  <si>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</si>
  <si>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</si>
  <si>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</si>
  <si>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</si>
  <si>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</si>
  <si>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</si>
  <si>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</si>
  <si>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</si>
  <si>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</si>
  <si>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</si>
  <si>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</si>
  <si>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</si>
  <si>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</si>
  <si>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</si>
  <si>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</si>
  <si>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</si>
  <si>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</si>
  <si>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</si>
  <si>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</si>
  <si>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</si>
  <si>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</si>
  <si>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</si>
  <si>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</si>
  <si>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</si>
  <si>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</si>
  <si>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</si>
  <si>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</si>
  <si>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</si>
  <si>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</si>
  <si>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</si>
  <si>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</si>
  <si>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</si>
  <si>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</si>
  <si>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</si>
  <si>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</si>
  <si>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</si>
  <si>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</si>
  <si>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</si>
  <si>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</si>
  <si>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</si>
  <si>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</si>
  <si>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</si>
  <si>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</si>
  <si>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</si>
  <si>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</si>
  <si>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</si>
  <si>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</si>
  <si>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</si>
  <si>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</si>
  <si>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</si>
  <si>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</si>
  <si>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</si>
  <si>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</si>
  <si>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</si>
  <si>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</si>
  <si>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</si>
  <si>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</si>
  <si>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</si>
  <si>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</si>
  <si>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</si>
  <si>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</si>
  <si>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</si>
  <si>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</si>
  <si>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</si>
  <si>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</si>
  <si>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</si>
  <si>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</si>
  <si>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</si>
  <si>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</si>
  <si>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</si>
  <si>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</si>
  <si>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</si>
  <si>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</si>
  <si>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</si>
  <si>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</si>
  <si>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</si>
  <si>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</si>
  <si>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</si>
  <si>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</si>
  <si>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</si>
  <si>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</si>
  <si>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</si>
  <si>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</si>
  <si>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</si>
  <si>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</si>
  <si>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</si>
  <si>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</si>
  <si>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</si>
  <si>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</si>
  <si>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</si>
  <si>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</si>
  <si>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</si>
  <si>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</si>
  <si>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</si>
  <si>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</si>
  <si>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</si>
  <si>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</si>
  <si>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</si>
  <si>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</si>
  <si>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</si>
  <si>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</si>
  <si>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</si>
  <si>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</si>
  <si>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</si>
  <si>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</si>
  <si>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</si>
  <si>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</si>
  <si>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</si>
  <si>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</si>
  <si>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</si>
  <si>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</si>
  <si>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</si>
  <si>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</si>
  <si>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</si>
  <si>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</si>
  <si>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</si>
  <si>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</si>
  <si>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</si>
  <si>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</si>
  <si>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</si>
  <si>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</si>
  <si>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</si>
  <si>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</si>
  <si>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</si>
  <si>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</si>
  <si>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</si>
  <si>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</si>
  <si>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</si>
  <si>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</si>
  <si>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</si>
  <si>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</si>
  <si>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</si>
  <si>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</si>
  <si>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</si>
  <si>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</si>
  <si>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</si>
  <si>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</si>
  <si>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</si>
  <si>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</si>
  <si>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</si>
  <si>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</si>
  <si>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</si>
  <si>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</si>
  <si>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</si>
  <si>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</si>
  <si>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</si>
  <si>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</si>
  <si>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</si>
  <si>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</si>
  <si>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</si>
  <si>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</si>
  <si>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</si>
  <si>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</si>
  <si>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</si>
  <si>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</si>
  <si>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</si>
  <si>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</si>
  <si>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</si>
  <si>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</si>
  <si>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</si>
  <si>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</si>
  <si>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</si>
  <si>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</si>
  <si>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</si>
  <si>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</si>
  <si>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</si>
  <si>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</si>
  <si>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</si>
  <si>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</si>
  <si>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</si>
  <si>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</si>
  <si>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</si>
  <si>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</si>
  <si>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</si>
  <si>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</si>
  <si>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</si>
  <si>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</si>
  <si>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</si>
  <si>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</si>
  <si>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</si>
  <si>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</si>
  <si>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</si>
  <si>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</si>
  <si>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</si>
  <si>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</si>
  <si>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</si>
  <si>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</si>
  <si>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</si>
  <si>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</si>
  <si>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</si>
  <si>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</si>
  <si>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</si>
  <si>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</si>
  <si>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</si>
  <si>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</si>
  <si>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</si>
  <si>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50115089     ZPr - katetry PICC/MIDLINE (Z554)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</si>
  <si>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</si>
  <si>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</si>
  <si>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</si>
  <si>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</si>
  <si>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</si>
  <si>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</si>
  <si>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</si>
  <si>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</si>
  <si>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</si>
  <si>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</si>
  <si>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</si>
  <si>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</si>
  <si>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</si>
  <si>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</si>
  <si>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</si>
  <si>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</si>
  <si>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</si>
  <si>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</si>
  <si>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</si>
  <si>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</si>
  <si>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</si>
  <si>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</si>
  <si>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</si>
  <si>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</si>
  <si>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</si>
  <si>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</si>
  <si>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</si>
  <si>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</si>
  <si>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</si>
  <si>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</si>
  <si>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</si>
  <si>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</si>
  <si>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</si>
  <si>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</si>
  <si>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</si>
  <si>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</si>
  <si>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</si>
  <si>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</si>
  <si>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</si>
  <si>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</si>
  <si>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</si>
  <si>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</si>
  <si>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</si>
  <si>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</si>
  <si>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</si>
  <si>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</si>
  <si>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</si>
  <si>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</si>
  <si>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</si>
  <si>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</si>
  <si>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</si>
  <si>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</si>
  <si>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</si>
  <si>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</si>
  <si>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</si>
  <si>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</si>
  <si>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</si>
  <si>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</si>
  <si>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</si>
  <si>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</si>
  <si>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</si>
  <si>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</si>
  <si>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</si>
  <si>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</si>
  <si>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</si>
  <si>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</si>
  <si>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</si>
  <si>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</si>
  <si>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</si>
  <si>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</si>
  <si>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</si>
  <si>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</si>
  <si>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</si>
  <si>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</si>
  <si>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</si>
  <si>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</si>
  <si>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</si>
  <si>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</si>
  <si>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</si>
  <si>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</si>
  <si>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</si>
  <si>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</si>
  <si>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54901     Technické zhodnocení budov</t>
  </si>
  <si>
    <t>54901026     TZ budov - OHE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</si>
  <si>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</si>
  <si>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</si>
  <si>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</si>
  <si>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</si>
  <si>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</si>
  <si>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</si>
  <si>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</si>
  <si>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</si>
  <si>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</si>
  <si>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</si>
  <si>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</si>
  <si>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</si>
  <si>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</si>
  <si>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</si>
  <si>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</si>
  <si>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</si>
  <si>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</si>
  <si>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</si>
  <si>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</si>
  <si>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</si>
  <si>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</si>
  <si>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</si>
  <si>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</si>
  <si>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</si>
  <si>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</si>
  <si>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</si>
  <si>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</si>
  <si>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</si>
  <si>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</si>
  <si>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</si>
  <si>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</si>
  <si>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</si>
  <si>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</si>
  <si>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</si>
  <si>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</si>
  <si>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</si>
  <si>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</si>
  <si>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</si>
  <si>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</si>
  <si>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</si>
  <si>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</si>
  <si>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</si>
  <si>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</si>
  <si>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</si>
  <si>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</si>
  <si>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</si>
  <si>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</si>
  <si>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</si>
  <si>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</si>
  <si>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</si>
  <si>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</si>
  <si>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</si>
  <si>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</si>
  <si>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</si>
  <si>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</si>
  <si>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</si>
  <si>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</si>
  <si>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</si>
  <si>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</si>
  <si>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</si>
  <si>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</si>
  <si>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</si>
  <si>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</si>
  <si>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</si>
  <si>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</si>
  <si>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</si>
  <si>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</si>
  <si>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</si>
  <si>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</si>
  <si>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</si>
  <si>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</si>
  <si>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</si>
  <si>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</si>
  <si>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</si>
  <si>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</si>
  <si>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</si>
  <si>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</si>
  <si>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</si>
  <si>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</si>
  <si>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</si>
  <si>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</si>
  <si>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</si>
  <si>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</si>
  <si>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</si>
  <si>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</si>
  <si>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</si>
  <si>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</si>
  <si>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</si>
  <si>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</si>
  <si>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</si>
  <si>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</si>
  <si>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</si>
  <si>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59</t>
  </si>
  <si>
    <t>IPCHO: Oddělení int. péče chirurg. oborů</t>
  </si>
  <si>
    <t/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</si>
  <si>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</si>
  <si>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</si>
  <si>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</si>
  <si>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</si>
  <si>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</si>
  <si>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</si>
  <si>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</si>
  <si>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</si>
  <si>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</si>
  <si>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</si>
  <si>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</si>
  <si>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</si>
  <si>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</si>
  <si>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</si>
  <si>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</si>
  <si>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</si>
  <si>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</si>
  <si>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</si>
  <si>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10% GLUCOSE IN WATER FOR INJECTION FRESENIUS</t>
  </si>
  <si>
    <t>100MG/ML INF SOL 1X500ML II</t>
  </si>
  <si>
    <t>ACC INJEKT</t>
  </si>
  <si>
    <t>INJ SOL 5X3ML/300MG</t>
  </si>
  <si>
    <t>ACECOR 400MG</t>
  </si>
  <si>
    <t>TBL OBD 30X400MG</t>
  </si>
  <si>
    <t>ACIDUM ASCORBICUM</t>
  </si>
  <si>
    <t>INJ 5X5ML</t>
  </si>
  <si>
    <t>INJ 50X5ML</t>
  </si>
  <si>
    <t>ACIDUM FOLICUM LECIVA</t>
  </si>
  <si>
    <t>DRG 30X10MG</t>
  </si>
  <si>
    <t>ADDAVEN</t>
  </si>
  <si>
    <t>IVN INF CNC SOL 20X10ML</t>
  </si>
  <si>
    <t>ADRENALIN LECIVA</t>
  </si>
  <si>
    <t>INJ 5X1ML/1MG</t>
  </si>
  <si>
    <t>AESCIN-TEVA</t>
  </si>
  <si>
    <t>POR TBL ENT 90X20MG</t>
  </si>
  <si>
    <t>POR TBL FLM 30X20MG</t>
  </si>
  <si>
    <t>AGAPURIN</t>
  </si>
  <si>
    <t>INJ 5X5ML/100MG</t>
  </si>
  <si>
    <t>P</t>
  </si>
  <si>
    <t>AGEN 10</t>
  </si>
  <si>
    <t>POR TBL NOB 30X10MG</t>
  </si>
  <si>
    <t>AGEN 5</t>
  </si>
  <si>
    <t>POR TBL NOB 30X5MG</t>
  </si>
  <si>
    <t>POR TBL NOB 90X5MG</t>
  </si>
  <si>
    <t>ALGIFEN NEO</t>
  </si>
  <si>
    <t>POR GTT SOL 1X50ML</t>
  </si>
  <si>
    <t>ALMIRAL</t>
  </si>
  <si>
    <t>INJ 10X3ML/75MG</t>
  </si>
  <si>
    <t>ALOPURINOL SANDOZ</t>
  </si>
  <si>
    <t>100MG TBL NOB 30</t>
  </si>
  <si>
    <t>ALVESCO 160 INHALER</t>
  </si>
  <si>
    <t>160MCG/DÁV INH SOL PSS 60DÁV</t>
  </si>
  <si>
    <t>AMBROBENE 7.5MG/ML</t>
  </si>
  <si>
    <t>SOL 1X40ML</t>
  </si>
  <si>
    <t>SOL 1X100ML</t>
  </si>
  <si>
    <t>AMITRIPTYLIN SLOVAKOFARMA</t>
  </si>
  <si>
    <t>25MG TBL FLM 50</t>
  </si>
  <si>
    <t>ANALGIN</t>
  </si>
  <si>
    <t>INJ SOL 5X5ML</t>
  </si>
  <si>
    <t>ANESIA 10MG/ML</t>
  </si>
  <si>
    <t>INJ+INF EML 1X100ML</t>
  </si>
  <si>
    <t>ANOPYRIN</t>
  </si>
  <si>
    <t>100MG TBL NOB 60(6X10)</t>
  </si>
  <si>
    <t>APAURIN</t>
  </si>
  <si>
    <t>INJ 10X2ML/10MG</t>
  </si>
  <si>
    <t>AQUA PRO INJECTIONE ARDEAPHARMA</t>
  </si>
  <si>
    <t>INF 1X250ML</t>
  </si>
  <si>
    <t>AQUA PRO INJECTIONE BRAUN</t>
  </si>
  <si>
    <t>PAR LQF 20X100ML-PE</t>
  </si>
  <si>
    <t>ARDEAELYTOSOL L-ARGININCHL.21%</t>
  </si>
  <si>
    <t>INF 1X80ML</t>
  </si>
  <si>
    <t>ARDEAELYTOSOL NA.HYDR.CARB.4.2%</t>
  </si>
  <si>
    <t>INF 1X200ML</t>
  </si>
  <si>
    <t>ARDEAELYTOSOL NA.HYDR.CARB.8.4%</t>
  </si>
  <si>
    <t>ARDEAELYTOSOL NA.HYDR.FOSF.8.7%</t>
  </si>
  <si>
    <t>ARDEAOSMOSOL MA 20</t>
  </si>
  <si>
    <t>200G/L INF SOL 10X200ML</t>
  </si>
  <si>
    <t>ARDUAN</t>
  </si>
  <si>
    <t>INJ SIC 25X4MG+2ML</t>
  </si>
  <si>
    <t>ASCORUTIN (BLISTR)</t>
  </si>
  <si>
    <t>TBL OBD 50</t>
  </si>
  <si>
    <t>ATENOLOL AL 50</t>
  </si>
  <si>
    <t>POR TBL NOB 50X50MG</t>
  </si>
  <si>
    <t>ATROPIN BIOTIKA 0.5MG</t>
  </si>
  <si>
    <t>INJ 10X1ML/0.5MG</t>
  </si>
  <si>
    <t>ATROVENT 0.025%</t>
  </si>
  <si>
    <t>INH SOL 1X20ML</t>
  </si>
  <si>
    <t>AULIN</t>
  </si>
  <si>
    <t>POR TBL NOB 30X100MG</t>
  </si>
  <si>
    <t>AVAMYS NAS.SPR.SUS 120X27,5RG</t>
  </si>
  <si>
    <t>AVELOX</t>
  </si>
  <si>
    <t>400MG TBL FLM 5 I</t>
  </si>
  <si>
    <t>BACLOFEN</t>
  </si>
  <si>
    <t>TBL 50X10MG</t>
  </si>
  <si>
    <t>BERODUAL</t>
  </si>
  <si>
    <t>INH LIQ 1X20ML</t>
  </si>
  <si>
    <t>BERODUAL N</t>
  </si>
  <si>
    <t>INH SOL PSS 200DÁV</t>
  </si>
  <si>
    <t>BETADINE</t>
  </si>
  <si>
    <t>SUP VAG 14</t>
  </si>
  <si>
    <t>BETADINE - zelená</t>
  </si>
  <si>
    <t>LIQ 1X1000ML</t>
  </si>
  <si>
    <t>BETALOC</t>
  </si>
  <si>
    <t>INJ 5X5ML/5MG</t>
  </si>
  <si>
    <t>Biopron9 tob.60</t>
  </si>
  <si>
    <t>BIPHOZYL ROZTOK PRO HEMODIALÝZU/HEMOFILTRACI</t>
  </si>
  <si>
    <t>HMD+HFL SOL 2X5000ML</t>
  </si>
  <si>
    <t>BISEPTOL 480</t>
  </si>
  <si>
    <t>POR TBL NOB 28X480MG</t>
  </si>
  <si>
    <t>BISOPROLOL MYLAN 5 MG</t>
  </si>
  <si>
    <t>POR TBL FLM 30X5MG</t>
  </si>
  <si>
    <t>POR TBL FLM 100X5MG</t>
  </si>
  <si>
    <t>B-Komplex forte Zentiva drg.20</t>
  </si>
  <si>
    <t>BRICANYL</t>
  </si>
  <si>
    <t>INJ 10X1ML 0.5MG</t>
  </si>
  <si>
    <t>BRUFEN 400</t>
  </si>
  <si>
    <t>400MG TBL FLM 100</t>
  </si>
  <si>
    <t>BRUFEN 600 MG</t>
  </si>
  <si>
    <t>GRA EFF 20X600MG</t>
  </si>
  <si>
    <t>BURONIL 25 MG</t>
  </si>
  <si>
    <t>POR TBL OBD 50X25MG</t>
  </si>
  <si>
    <t>CALCIUM BIOTIKA</t>
  </si>
  <si>
    <t>INJ 10X10ML/1GM</t>
  </si>
  <si>
    <t>CALCIUM GLUCONICUM 10% B.BRAUN</t>
  </si>
  <si>
    <t>INJ SOL 20X10ML</t>
  </si>
  <si>
    <t>CALCIUM CHLORATUM BIOTIKA</t>
  </si>
  <si>
    <t>INJ 5X10ML 10%</t>
  </si>
  <si>
    <t>CALCIUM RESONIUM</t>
  </si>
  <si>
    <t>POR+RCT PLV SUS 300GM</t>
  </si>
  <si>
    <t>CALYPSOL</t>
  </si>
  <si>
    <t>INJ 5X10ML/500MG</t>
  </si>
  <si>
    <t>CARDILAN</t>
  </si>
  <si>
    <t>INJ 10X10ML</t>
  </si>
  <si>
    <t>CATAPRES 0,15MG INJ-MIMOŘÁDNÝ DOVOZ!!</t>
  </si>
  <si>
    <t>INJ 5X1ML/0.15MG</t>
  </si>
  <si>
    <t>CELASKON 500MG ČERVENÝ POMERANČ</t>
  </si>
  <si>
    <t>POR TBLEFF20X500MG</t>
  </si>
  <si>
    <t>CELASKON LONG EFFECT 500MG 30 CPS PRO</t>
  </si>
  <si>
    <t>CEREBROLYSIN</t>
  </si>
  <si>
    <t>INJ SOL 5X10ML</t>
  </si>
  <si>
    <t>CERNEVIT</t>
  </si>
  <si>
    <t>INJ PLV SOL10X750MG</t>
  </si>
  <si>
    <t>CEZERA 5 MG</t>
  </si>
  <si>
    <t>POR TBL FLM 90X5MG</t>
  </si>
  <si>
    <t>CITALEC 10 ZENTIVA</t>
  </si>
  <si>
    <t>10MG TBL FLM 30</t>
  </si>
  <si>
    <t>CITALEC 20 ZENTIVA</t>
  </si>
  <si>
    <t>20MG TBL FLM 30</t>
  </si>
  <si>
    <t>CLEXANE</t>
  </si>
  <si>
    <t>inj sol  10x0,4ml/40 mg</t>
  </si>
  <si>
    <t>CODEIN SLOVAKOFARMA 15MG</t>
  </si>
  <si>
    <t>TBL 10X15MG-BLISTR</t>
  </si>
  <si>
    <t>CODEIN SLOVAKOFARMA 30MG</t>
  </si>
  <si>
    <t>TBL 10X30MG-BLISTR</t>
  </si>
  <si>
    <t>COLCHICUM-DISPERT</t>
  </si>
  <si>
    <t>POR TBL OBD 20X500RG</t>
  </si>
  <si>
    <t>CONCOR</t>
  </si>
  <si>
    <t>TBL FC 30X5MG</t>
  </si>
  <si>
    <t>CONTROLOC 20 MG</t>
  </si>
  <si>
    <t>POR TBL ENT 100X20MG</t>
  </si>
  <si>
    <t>CONTROLOC I.V.</t>
  </si>
  <si>
    <t>INJ PLV SOL 1X40MG</t>
  </si>
  <si>
    <t>CORDARONE</t>
  </si>
  <si>
    <t>INJ SOL 6X3ML/150MG</t>
  </si>
  <si>
    <t>POR TBL NOB60X200MG</t>
  </si>
  <si>
    <t>POR TBL NOB30X200MG</t>
  </si>
  <si>
    <t>COSOPT</t>
  </si>
  <si>
    <t>20MG/ML+5MG/ML OPH GTT SOL 1X5ML</t>
  </si>
  <si>
    <t>Deca durabolin 50mg amp.1x1ml - MIMOŘÁDNÝ DOVOZ!!</t>
  </si>
  <si>
    <t>DEGAN</t>
  </si>
  <si>
    <t>INJ 50X2ML/10MG</t>
  </si>
  <si>
    <t>TBL 40X10MG</t>
  </si>
  <si>
    <t>DEPAKINE</t>
  </si>
  <si>
    <t>INJ PSO LQF 4X4ML/400MG</t>
  </si>
  <si>
    <t>DETRALEX</t>
  </si>
  <si>
    <t>TBL OBD 30</t>
  </si>
  <si>
    <t>POR TBL FLM 60</t>
  </si>
  <si>
    <t>DEXAMED - výpadek nejspíš do 2/19</t>
  </si>
  <si>
    <t>INJ 10X2ML/8MG</t>
  </si>
  <si>
    <t>DEXDOR</t>
  </si>
  <si>
    <t>INF CNC SOL 5X2ML</t>
  </si>
  <si>
    <t>DIAZEPAM SLOVAKOFARMA</t>
  </si>
  <si>
    <t>TBL 20X10MG</t>
  </si>
  <si>
    <t>DICLOFENAC DUO PHARMASWISS 75 MG</t>
  </si>
  <si>
    <t>POR CPS RDR 30X75MG</t>
  </si>
  <si>
    <t>DICYNONE 250</t>
  </si>
  <si>
    <t>INJ SOL 4X2ML/250MG</t>
  </si>
  <si>
    <t>DIGOXIN 0.125 LECIVA</t>
  </si>
  <si>
    <t>TBL 30X0.125MG</t>
  </si>
  <si>
    <t>DIGOXIN 0.250 LECIVA</t>
  </si>
  <si>
    <t>TBL 30X0.25MG</t>
  </si>
  <si>
    <t>DIGOXIN ORION INJ.-MIMOŘÁDNÝ DOVOZ!!</t>
  </si>
  <si>
    <t>INJ SOL 25X1ML/0.25MG</t>
  </si>
  <si>
    <t>DILURAN</t>
  </si>
  <si>
    <t>TBL 20X250MG</t>
  </si>
  <si>
    <t>DIPEPTIVEN</t>
  </si>
  <si>
    <t>INF CNC SOL 1X100ML</t>
  </si>
  <si>
    <t>DIPIDOLOR</t>
  </si>
  <si>
    <t>INJ 5X2ML 7.5MG/ML</t>
  </si>
  <si>
    <t>DITHIADEN</t>
  </si>
  <si>
    <t>INJ 10X2ML</t>
  </si>
  <si>
    <t>TBL 20X2MG</t>
  </si>
  <si>
    <t>Dobutamin Admeda 250 inf.sol50ml</t>
  </si>
  <si>
    <t>DOLMINA 50</t>
  </si>
  <si>
    <t>TBL OBD 30X50MG</t>
  </si>
  <si>
    <t>DOLMINA INJ.</t>
  </si>
  <si>
    <t>INJ 5X3ML/75MG</t>
  </si>
  <si>
    <t>DUPHALAC</t>
  </si>
  <si>
    <t>667MG/ML POR SOL 1X500ML IV</t>
  </si>
  <si>
    <t>DYMISTIN 137 MIKROGRAMŮ/50 MIKROGRAMŮ</t>
  </si>
  <si>
    <t>NAS SPR SUS 1X17ML</t>
  </si>
  <si>
    <t>DZ BRAUNOL 500 ML</t>
  </si>
  <si>
    <t>DZ OCTENISEPT drm. sol. 250 ml</t>
  </si>
  <si>
    <t>DRM SOL 1X250ML</t>
  </si>
  <si>
    <t>EBRANTIL I.V. 25</t>
  </si>
  <si>
    <t>INJ SOL 5X5ML/25MG</t>
  </si>
  <si>
    <t>EBRANTIL I.V.50</t>
  </si>
  <si>
    <t>INJ SOL 5X10ML/50MG</t>
  </si>
  <si>
    <t>ECOLAV Výplach očí 100ml</t>
  </si>
  <si>
    <t>100 ml</t>
  </si>
  <si>
    <t>ELICEA 10 MG</t>
  </si>
  <si>
    <t>POR TBL FLM 28X10MG</t>
  </si>
  <si>
    <t>ENAP 10MG</t>
  </si>
  <si>
    <t>TBL 100X10MG</t>
  </si>
  <si>
    <t>TBL 30X10MG</t>
  </si>
  <si>
    <t>ENAP I.V.</t>
  </si>
  <si>
    <t>INJ 5X1ML/1.25MG</t>
  </si>
  <si>
    <t>ENELBIN 100 RETARD</t>
  </si>
  <si>
    <t>TBL RET 100X100MG</t>
  </si>
  <si>
    <t>ENSURE PLUS ADVANCE KÁVOVÁ PŘÍCHUŤ</t>
  </si>
  <si>
    <t>POR SOL 4X220ML</t>
  </si>
  <si>
    <t>EPHEDRIN BIOTIKA</t>
  </si>
  <si>
    <t>INJ SOL 10X1ML/50MG</t>
  </si>
  <si>
    <t>ERCEFURYL 200 MG CPS.</t>
  </si>
  <si>
    <t>POR CPS DUR 14X200MG</t>
  </si>
  <si>
    <t>ERDOMED</t>
  </si>
  <si>
    <t>POR CPS DUR 60X300MG</t>
  </si>
  <si>
    <t>ERDOMED 300MG</t>
  </si>
  <si>
    <t>CPS 10X300MG</t>
  </si>
  <si>
    <t>ESMERON INJ.SOL.10X5ML</t>
  </si>
  <si>
    <t>ESPUMISAN</t>
  </si>
  <si>
    <t>PORCPSMOL50X40MG-BL</t>
  </si>
  <si>
    <t>EXACYL</t>
  </si>
  <si>
    <t>INJ 5X5ML/500MG</t>
  </si>
  <si>
    <t>FANTOMALT</t>
  </si>
  <si>
    <t>POR PLV SOL 1X400GMenterar.</t>
  </si>
  <si>
    <t>FASTUM GEL</t>
  </si>
  <si>
    <t>DRM GEL 1X100GM</t>
  </si>
  <si>
    <t>FEBICHOL</t>
  </si>
  <si>
    <t>POR CPS MOL50X100MG</t>
  </si>
  <si>
    <t>FENISTIL</t>
  </si>
  <si>
    <t>1MG/G GEL 1X30G</t>
  </si>
  <si>
    <t>FERRO-FOLGAMMA-výpadek do poloviny 2019</t>
  </si>
  <si>
    <t>POR CPS MOL 100</t>
  </si>
  <si>
    <t>FLAMEXIN</t>
  </si>
  <si>
    <t>TBL 20X20MG</t>
  </si>
  <si>
    <t>FLAVOBION</t>
  </si>
  <si>
    <t>70MG TBL FLM 50</t>
  </si>
  <si>
    <t>FLORSALMIN</t>
  </si>
  <si>
    <t>GTT 1X50ML</t>
  </si>
  <si>
    <t>FLUMAZENIL PHARMASELECT</t>
  </si>
  <si>
    <t>0,1MG/ML INJ SOL+INF CNC SOL 5X5ML</t>
  </si>
  <si>
    <t>FRAXIPARIN MULTI</t>
  </si>
  <si>
    <t>INJ 10X5ML/47.5KU</t>
  </si>
  <si>
    <t>FRAXIPARINE</t>
  </si>
  <si>
    <t>INJ SOL 10X0.4ML</t>
  </si>
  <si>
    <t>FURON</t>
  </si>
  <si>
    <t>TBL 50X40MG</t>
  </si>
  <si>
    <t>FURORESE 40</t>
  </si>
  <si>
    <t>FUROSEMID ACCORD</t>
  </si>
  <si>
    <t>10MG/ML INJ/INF SOL 10X2ML</t>
  </si>
  <si>
    <t>FUROSEMID BIOTIKA FORTE</t>
  </si>
  <si>
    <t>INJ 10X10ML/125MG</t>
  </si>
  <si>
    <t>FYZIOLOGICKÝ ROZTOK VIAFLO</t>
  </si>
  <si>
    <t>INF SOL 20X500ML</t>
  </si>
  <si>
    <t>GAMMANORM 165 MG/ML</t>
  </si>
  <si>
    <t>INJ SOL 1X6ML</t>
  </si>
  <si>
    <t>GELASPAN 4% EBI20x500 ml</t>
  </si>
  <si>
    <t>INF SOL20X500ML VAK</t>
  </si>
  <si>
    <t>GERATAM 3 G</t>
  </si>
  <si>
    <t>INJ SOL 4X15ML/3GM</t>
  </si>
  <si>
    <t>GLIMEPIRID SANDOZ</t>
  </si>
  <si>
    <t>3MG TBL NOB 120</t>
  </si>
  <si>
    <t>GLUKÓZA 10 BRAUN</t>
  </si>
  <si>
    <t>INF SOL 10X500ML-PE</t>
  </si>
  <si>
    <t>GLUKÓZA 20 BRAUN</t>
  </si>
  <si>
    <t>GLUKÓZA 40 BRAUN</t>
  </si>
  <si>
    <t>GLUKÓZA 5 BRAUN</t>
  </si>
  <si>
    <t>INF SOL 10X250ML-PE</t>
  </si>
  <si>
    <t>GODASAL 100</t>
  </si>
  <si>
    <t>POR TBL NOB 20</t>
  </si>
  <si>
    <t>POR TBL NOB 50</t>
  </si>
  <si>
    <t>POR TBL NOB 100</t>
  </si>
  <si>
    <t>GUAJACURAN « 5 % INJ</t>
  </si>
  <si>
    <t>GUTRON 2.5MG</t>
  </si>
  <si>
    <t>TBL 20X2.5MG</t>
  </si>
  <si>
    <t>TBL 50X2.5MG</t>
  </si>
  <si>
    <t>GUTRON 5MG</t>
  </si>
  <si>
    <t>TBL 50X5MG</t>
  </si>
  <si>
    <t>GUTTALAX</t>
  </si>
  <si>
    <t>POR GTT SOL 1X15ML</t>
  </si>
  <si>
    <t>HALOPERIDOL</t>
  </si>
  <si>
    <t>TBL 50X1.5MG</t>
  </si>
  <si>
    <t>INJ 5X1ML/5MG</t>
  </si>
  <si>
    <t>HELICID 20 ZENTIVA</t>
  </si>
  <si>
    <t>POR CPS ETD 90X20MG</t>
  </si>
  <si>
    <t>POR CPS ETD 28X20MG</t>
  </si>
  <si>
    <t>HEPARIN LECIVA</t>
  </si>
  <si>
    <t>INJ 1X10ML/50KU</t>
  </si>
  <si>
    <t>HEPAROID LECIVA</t>
  </si>
  <si>
    <t>UNG 1X30GM</t>
  </si>
  <si>
    <t>HERPESIN 200</t>
  </si>
  <si>
    <t>POR TBL NOB 25X200MG</t>
  </si>
  <si>
    <t>HERPESIN 250</t>
  </si>
  <si>
    <t>INJ SIC 10X250MG</t>
  </si>
  <si>
    <t>HYDROCORTISON VALEANT 100 MG</t>
  </si>
  <si>
    <t>INJ PLV SOL 10X100MG</t>
  </si>
  <si>
    <t>HYDROCORTISON VUAB 100 MG</t>
  </si>
  <si>
    <t>INJ PLV SOL 1X100MG</t>
  </si>
  <si>
    <t>HYLAK FORTE</t>
  </si>
  <si>
    <t>POR SOL 100ML</t>
  </si>
  <si>
    <t>HYPNOMIDATE</t>
  </si>
  <si>
    <t>INJ 5X10ML/20MG</t>
  </si>
  <si>
    <t>Hypromeloza -P 10ml</t>
  </si>
  <si>
    <t>CHLORID SODNÝ 0,9% BRAUN</t>
  </si>
  <si>
    <t>INF SOL 20X100MLPELAH</t>
  </si>
  <si>
    <t>INF SOL 10X1000MLPLAH</t>
  </si>
  <si>
    <t>INF SOL 10X500MLPELAH</t>
  </si>
  <si>
    <t>INF SOL 10X250MLPELAH</t>
  </si>
  <si>
    <t>IBALGIN 400 (IBUPROFEN 400)</t>
  </si>
  <si>
    <t>TBL OBD 100X400MG</t>
  </si>
  <si>
    <t>IBUPROFEN B. BRAUN 400MG</t>
  </si>
  <si>
    <t xml:space="preserve"> INF SOL 10X100ML</t>
  </si>
  <si>
    <t>IBUPROFEN B. BRAUN 600MG</t>
  </si>
  <si>
    <t>IMACORT</t>
  </si>
  <si>
    <t>10MG/G+2,5MG/G+5MG/G CRM 20G</t>
  </si>
  <si>
    <t>IMAZOL KRÉMPASTA</t>
  </si>
  <si>
    <t>10MG/G DRM PST 1X30G</t>
  </si>
  <si>
    <t>IMUNOR</t>
  </si>
  <si>
    <t>LYO 4X10MG</t>
  </si>
  <si>
    <t>INDAP</t>
  </si>
  <si>
    <t>CPS 30X2.5MG</t>
  </si>
  <si>
    <t>INDOMETACIN 100 BERLIN-CHEMIE</t>
  </si>
  <si>
    <t>SUP 10X100MG</t>
  </si>
  <si>
    <t>INDOMETACIN 50 BERLIN-CHEMIE</t>
  </si>
  <si>
    <t>SUP 10X50MG</t>
  </si>
  <si>
    <t>INJ PROCAINII CHLORATI 0,2% ARD 10x500ml</t>
  </si>
  <si>
    <t>2MG/ML INJ SOL 10X500ML</t>
  </si>
  <si>
    <t>IR  Ci-Ca DIALYSAT K2</t>
  </si>
  <si>
    <t>IR DIALYSACNI RPZT.</t>
  </si>
  <si>
    <t>IR  NaCl 0,9% 3000 ml vak Bieffe</t>
  </si>
  <si>
    <t>for irrig. 1x3000 ml 15%</t>
  </si>
  <si>
    <t>IR  TSC 4%/Na citr.4%/ 1500 ml</t>
  </si>
  <si>
    <t>IR dialysační rozt.</t>
  </si>
  <si>
    <t xml:space="preserve">IR NaCl 0,9% Frekaflex 1000ml </t>
  </si>
  <si>
    <t>Roztok pro hemodialýzu</t>
  </si>
  <si>
    <t>IR OG. OPHTHALMO-SEPTONEX</t>
  </si>
  <si>
    <t>GTT OPH 1X10ML</t>
  </si>
  <si>
    <t>ISICOM 250MG</t>
  </si>
  <si>
    <t>TBL 100X275MG</t>
  </si>
  <si>
    <t>ISOKET LOSUNG 0.1% PRO INFUS.</t>
  </si>
  <si>
    <t>INJ PRO INF 10X10ML</t>
  </si>
  <si>
    <t>ISOLYTE  FFX - VAK</t>
  </si>
  <si>
    <t>INF SOL 10X1000ML Freeflex</t>
  </si>
  <si>
    <t>ISOLYTE BP - PLAST. LÁHEV</t>
  </si>
  <si>
    <t xml:space="preserve">INF SOL 10X1000ML KP </t>
  </si>
  <si>
    <t>ISOPRENALIN inj.-MIMOŘÁDNÝ DOVOZ!!</t>
  </si>
  <si>
    <t>5x1 ml</t>
  </si>
  <si>
    <t>JANUMET 50 MG/1000 MG</t>
  </si>
  <si>
    <t>POR TBL FLM 56X50MG/1000MG</t>
  </si>
  <si>
    <t>KALIUM CHLORATUM BIOMEDICA</t>
  </si>
  <si>
    <t>POR TBLFLM100X500MG</t>
  </si>
  <si>
    <t>KALIUMCHLORID 7.45% BRAUN</t>
  </si>
  <si>
    <t>INF CNC SOL 20X100ML</t>
  </si>
  <si>
    <t>KANAVIT</t>
  </si>
  <si>
    <t>INJ 5X1ML/10MG</t>
  </si>
  <si>
    <t>KARDEGIC 0.5 G</t>
  </si>
  <si>
    <t>INJ PSO LQF 6+SOL</t>
  </si>
  <si>
    <t>KINITO 50 MG, POTAHOVANÉ TABLETY</t>
  </si>
  <si>
    <t>POR TBL FLM 40X50MG</t>
  </si>
  <si>
    <t>POR TBL FLM 100X50MG</t>
  </si>
  <si>
    <t>KL BALS.VISNEVSKI 100G</t>
  </si>
  <si>
    <t>KL ETHANOLUM BENZ.DENAT. 900 ml / 720g/</t>
  </si>
  <si>
    <t>KL ETHER 200G</t>
  </si>
  <si>
    <t>KL ETHER LÉKOPISNÝ  500ml/357g</t>
  </si>
  <si>
    <t>KL ETHER LÉKOPISNÝ 1000 ml Fagron, Kulich</t>
  </si>
  <si>
    <t>UN 1155</t>
  </si>
  <si>
    <t>KL KAL.PERMANGANAS 20G</t>
  </si>
  <si>
    <t>KL MAST NA SPALENINY, 100G</t>
  </si>
  <si>
    <t>KL MAST NA SPALENINY, 20G</t>
  </si>
  <si>
    <t>KL MAST NA SPALENINY+ BETADINE , 100G</t>
  </si>
  <si>
    <t>KL PRIPRAVEK</t>
  </si>
  <si>
    <t>KL SIGNATURY</t>
  </si>
  <si>
    <t>KL SOL.ACIDI BORICI 3% 500G</t>
  </si>
  <si>
    <t>FAGRON, KULICH</t>
  </si>
  <si>
    <t>KL SOL.BORGLYCEROLI  3% 100 G</t>
  </si>
  <si>
    <t>KL SOL.BORGLYCEROLI 3% 50G</t>
  </si>
  <si>
    <t>KL UNG. AC. BENZOICUM</t>
  </si>
  <si>
    <t>KL UNG.ICHT.2G,CaCO3 10G,ZnO 6G,VAS.LEN. AA AD</t>
  </si>
  <si>
    <t>100G, 2% ichtamolu</t>
  </si>
  <si>
    <t>KL UNGUENTUM</t>
  </si>
  <si>
    <t>KL VASELINUM ALBUM, 20G</t>
  </si>
  <si>
    <t>Klysma salinické 10x135ml</t>
  </si>
  <si>
    <t>Klysma salinické 135ml</t>
  </si>
  <si>
    <t>Lactobacillus acidophil.cps.75 bez laktózy</t>
  </si>
  <si>
    <t>LAGOSA</t>
  </si>
  <si>
    <t>DRG 50X150MG</t>
  </si>
  <si>
    <t>LETROX 100</t>
  </si>
  <si>
    <t>POR TBL NOB 100X100RG II</t>
  </si>
  <si>
    <t>LETROX 125</t>
  </si>
  <si>
    <t>POR TBL NOB 100X125MCG</t>
  </si>
  <si>
    <t>LETROX 150</t>
  </si>
  <si>
    <t>POR TBL NOB 100X150RG</t>
  </si>
  <si>
    <t>LETROX 50</t>
  </si>
  <si>
    <t>POR TBL NOB 100X50RG II</t>
  </si>
  <si>
    <t>LETROX 75</t>
  </si>
  <si>
    <t>POR TBL NOB 100X75MCG II</t>
  </si>
  <si>
    <t>LEVOBUPIVACAINE KABI 5 MG/ML</t>
  </si>
  <si>
    <t>INJ+INF SOL 5X10ML</t>
  </si>
  <si>
    <t>LEXAURIN 1,5</t>
  </si>
  <si>
    <t>POR TBL NOB 30X1.5MG</t>
  </si>
  <si>
    <t>LEXAURIN 3</t>
  </si>
  <si>
    <t>3MG TBL NOB 30</t>
  </si>
  <si>
    <t>LISKANTIN</t>
  </si>
  <si>
    <t>POR TBL NOB 100X250MG</t>
  </si>
  <si>
    <t>LOKREN 20 MG</t>
  </si>
  <si>
    <t>POR TBL FLM 28X20MG</t>
  </si>
  <si>
    <t>LOPERON CPS</t>
  </si>
  <si>
    <t>POR CPS DUR 20X2MG</t>
  </si>
  <si>
    <t>POR CPS DUR 10X2MG</t>
  </si>
  <si>
    <t>LUXFEN, 2 MG/ML OČNÍ KAPKY, ROZTOK</t>
  </si>
  <si>
    <t>OPH GTT SOL 1X5ML</t>
  </si>
  <si>
    <t>MABRON</t>
  </si>
  <si>
    <t>INJ SOL 5X2ML</t>
  </si>
  <si>
    <t>MAGNE B6</t>
  </si>
  <si>
    <t>DRG 50</t>
  </si>
  <si>
    <t>MAGNESII LACTICI 0,5 TBL. MEDICAMENTA</t>
  </si>
  <si>
    <t>TBL NOB 100X0,5GM</t>
  </si>
  <si>
    <t>MAGNESIUM SULFURICUM BIOTIKA</t>
  </si>
  <si>
    <t>INJ 5X10ML 20%</t>
  </si>
  <si>
    <t>MAGNOSOLV</t>
  </si>
  <si>
    <t>GRA 30X6.1GM(SACKY)</t>
  </si>
  <si>
    <t>MARCAINE 0.5%</t>
  </si>
  <si>
    <t>INJ SOL5X20ML/100MG</t>
  </si>
  <si>
    <t>MAXITROL</t>
  </si>
  <si>
    <t>OPH GTT SUS 1X5ML</t>
  </si>
  <si>
    <t>MESOCAIN</t>
  </si>
  <si>
    <t>INJ 10X10ML 1%</t>
  </si>
  <si>
    <t>GEL 1X20GM</t>
  </si>
  <si>
    <t>Methergin 0.2mg/ml inj.5x1ml - MIMOŘÁDNÝ DOVOZ!!!</t>
  </si>
  <si>
    <t>MIDAZOLAM ACCORD 1 MG/ML</t>
  </si>
  <si>
    <t>INJ+INF SOL 10X5MLX1MG/ML</t>
  </si>
  <si>
    <t>MIDAZOLAM ACCORD 5 MG/ML</t>
  </si>
  <si>
    <t>INJ+INF SOL 10X10ML</t>
  </si>
  <si>
    <t>INJ+INF SOL 10X1MLX5MG/ML</t>
  </si>
  <si>
    <t>INJ+INF SOL 10X3MLX5MG/ML</t>
  </si>
  <si>
    <t>MIDAZOLAM B. BRAUN 1 MG/ML</t>
  </si>
  <si>
    <t>INJ+RCT SOL 10X50ML</t>
  </si>
  <si>
    <t>MIRZATEN ORO TAB 15 MG-výpadek</t>
  </si>
  <si>
    <t>POR TBL DIS 30X15MG</t>
  </si>
  <si>
    <t>MONO MACK DEPOT</t>
  </si>
  <si>
    <t>POR TBL PRO 28X100MG</t>
  </si>
  <si>
    <t>MORPHIN BIOTIKA 1%</t>
  </si>
  <si>
    <t>INJ 10X1ML/10MG</t>
  </si>
  <si>
    <t>INJ 10X2ML/20MG</t>
  </si>
  <si>
    <t>MS NATR.HYDROGENOCARB.SOL.8,4%  ZÁS.</t>
  </si>
  <si>
    <t>Ardeapharma</t>
  </si>
  <si>
    <t>MUCOSOLVAN</t>
  </si>
  <si>
    <t>POR GTT SOL+INH SOL 60ML</t>
  </si>
  <si>
    <t>MUCOSOLVAN PRO DOSPĚLÉ</t>
  </si>
  <si>
    <t>30MG/5ML SIR 1X100ML</t>
  </si>
  <si>
    <t>MYDOCALM 150MG</t>
  </si>
  <si>
    <t>TBL OBD 30X150MG</t>
  </si>
  <si>
    <t>NALOXONE POLFA</t>
  </si>
  <si>
    <t>INJ 10X1ML/0.4MG</t>
  </si>
  <si>
    <t>NASIVIN 0,025%</t>
  </si>
  <si>
    <t>NAS GTT SOL 10ML</t>
  </si>
  <si>
    <t>NATRIUM CHLORATUM BIOTIKA 10%</t>
  </si>
  <si>
    <t>NATRIUM CHLORATUM BIOTIKA ISOT.</t>
  </si>
  <si>
    <t>NATRIUM SALICYLICUM BIOTIKA</t>
  </si>
  <si>
    <t>INJ 10X10ML 10%</t>
  </si>
  <si>
    <t>NEODOLPASSE</t>
  </si>
  <si>
    <t>INF 10X250ML</t>
  </si>
  <si>
    <t>NEUROL 0.25</t>
  </si>
  <si>
    <t>NEUROL 0.5</t>
  </si>
  <si>
    <t>POR TBL NOB30X0.5MG</t>
  </si>
  <si>
    <t>NEURONTIN 100MG</t>
  </si>
  <si>
    <t>CPS 100X100MG</t>
  </si>
  <si>
    <t>NEURONTIN 300MG</t>
  </si>
  <si>
    <t>CPS 50X300MG</t>
  </si>
  <si>
    <t>NICORETTE INVISIPATCH 15 MG/16 H</t>
  </si>
  <si>
    <t>DRM EMP TDR 7X15MG</t>
  </si>
  <si>
    <t>NICORETTE INVISIPATCH 25 MG/16 H</t>
  </si>
  <si>
    <t>DRM EMP TDR 7X25MG</t>
  </si>
  <si>
    <t>NIMESIL</t>
  </si>
  <si>
    <t>PORGRASUS30X100MG-S</t>
  </si>
  <si>
    <t>NITRO POHL</t>
  </si>
  <si>
    <t>INF SOL 1X50ML/50MG</t>
  </si>
  <si>
    <t>NORADRENALIN LECIVA</t>
  </si>
  <si>
    <t>NORADRENALIN LÉČIVA</t>
  </si>
  <si>
    <t>IVN INF CNC SOL 5X5ML</t>
  </si>
  <si>
    <t>NORETHISTERON ZENTIVA</t>
  </si>
  <si>
    <t>TBL NOB 45X5MG</t>
  </si>
  <si>
    <t>NOVALGIN</t>
  </si>
  <si>
    <t>INJ 10X2ML/1000MG</t>
  </si>
  <si>
    <t>INJ 5X5ML/2500MG</t>
  </si>
  <si>
    <t>NOVALGIN-výpadek</t>
  </si>
  <si>
    <t>TBL OBD 20X500MG</t>
  </si>
  <si>
    <t>NOVORAPID 100 U/ML</t>
  </si>
  <si>
    <t>INJ SOL 1X10ML</t>
  </si>
  <si>
    <t>NUTRYELT</t>
  </si>
  <si>
    <t>INF CNC SOL 10X10ML</t>
  </si>
  <si>
    <t>ONDANSETRON ACCORD</t>
  </si>
  <si>
    <t>2MG/ML INJ+INF SOL 5X4ML</t>
  </si>
  <si>
    <t>ONDANSETRON B. BRAUN 2 MG/ML</t>
  </si>
  <si>
    <t>INJ SOL 20X4ML/8MG LDPE</t>
  </si>
  <si>
    <t>ONDANSETRON SANDOZ 8 MG POT TBL</t>
  </si>
  <si>
    <t>POR TBL FLM 10X8MG</t>
  </si>
  <si>
    <t>OPHTHALMO-AZULEN</t>
  </si>
  <si>
    <t>UNG OPH 1X5GM</t>
  </si>
  <si>
    <t>OPHTHALMO-SEPTONEX</t>
  </si>
  <si>
    <t>OPH GTT SOL 1X10ML PLAST</t>
  </si>
  <si>
    <t>OTOBACID N</t>
  </si>
  <si>
    <t>AUR GTT SOL 1X5ML</t>
  </si>
  <si>
    <t>OVESTIN</t>
  </si>
  <si>
    <t>VAG GLB 15X0.5MG</t>
  </si>
  <si>
    <t>OXANTIL</t>
  </si>
  <si>
    <t>INJ 5X2ML</t>
  </si>
  <si>
    <t>OXAZEPAM TBL.20X10MG</t>
  </si>
  <si>
    <t>TBL 20X10MG(BLISTR)</t>
  </si>
  <si>
    <t>PAMBA</t>
  </si>
  <si>
    <t>INJ SOL 5X5ML/50MG</t>
  </si>
  <si>
    <t>PANADOL NOVUM</t>
  </si>
  <si>
    <t>500MG TBL FLM 24</t>
  </si>
  <si>
    <t>PANCREOLAN FORTE</t>
  </si>
  <si>
    <t>TBL ENT 30X220MG</t>
  </si>
  <si>
    <t>PANGROL 20000</t>
  </si>
  <si>
    <t>POR TBL ENT 50 II</t>
  </si>
  <si>
    <t>PANZYNORM FORTE-N</t>
  </si>
  <si>
    <t>POR TBL ENT 30X20000UT</t>
  </si>
  <si>
    <t>PARACETAMOL KABI 10MG/ML</t>
  </si>
  <si>
    <t>INF SOL 10X100ML/1000MG</t>
  </si>
  <si>
    <t>PARALEN 500 SUP</t>
  </si>
  <si>
    <t>SUP 5X500MG</t>
  </si>
  <si>
    <t>PARALEN PRO INFANTIBUS</t>
  </si>
  <si>
    <t>SUP 5X100MG</t>
  </si>
  <si>
    <t>PATENTBLAU V - MIMOŘ.DOVOZ!!!</t>
  </si>
  <si>
    <t>INJ 5X2ML/50MG</t>
  </si>
  <si>
    <t>PERLINGANIT ROZTOK</t>
  </si>
  <si>
    <t>INF SOL10X10ML AMP</t>
  </si>
  <si>
    <t>PEROXID VODÍKU 3% COO</t>
  </si>
  <si>
    <t>DRM SOL 1X100ML 3%</t>
  </si>
  <si>
    <t>PLASMALYTE ROZTOK</t>
  </si>
  <si>
    <t>INF SOL 10X1000ML</t>
  </si>
  <si>
    <t>PLASMALYTE ROZTOK S GLUKOZOU 5%</t>
  </si>
  <si>
    <t>PRAXBIND 2,5 G/50 ML</t>
  </si>
  <si>
    <t>INJ+INF SOL 2X50MLX2,5GM/50ML</t>
  </si>
  <si>
    <t>PREDNISON 5 LECIVA</t>
  </si>
  <si>
    <t>TBL 20X5MG</t>
  </si>
  <si>
    <t>PREGABALIN SANDOZ</t>
  </si>
  <si>
    <t>150MG CPS DUR 84</t>
  </si>
  <si>
    <t>PRESTANCE 5 MG/5 MG</t>
  </si>
  <si>
    <t>POR TBL NOB 90</t>
  </si>
  <si>
    <t>PRESTARIUM NEO</t>
  </si>
  <si>
    <t>PRESTARIUM NEO FORTE</t>
  </si>
  <si>
    <t>POR TBL FLM 90X10MG</t>
  </si>
  <si>
    <t>POR TBL FLM 30X10MG</t>
  </si>
  <si>
    <t>Propanorm 35mg/10ml inj.10 x 10 ml/35mg</t>
  </si>
  <si>
    <t>PROPOFOL 1% MCT/LCT FRESENIUS</t>
  </si>
  <si>
    <t>INJ EML 10X100ML</t>
  </si>
  <si>
    <t>PROPOFOL-LIPURO 1 % (10MG/ML)</t>
  </si>
  <si>
    <t>INJ+INF EML 10X100ML/1000MG</t>
  </si>
  <si>
    <t>PROSTAVASIN</t>
  </si>
  <si>
    <t>INJ SIC 10X20RG</t>
  </si>
  <si>
    <t>PURIVIST</t>
  </si>
  <si>
    <t>0,5MG/ML OPH GTT SOL 5ML LAH</t>
  </si>
  <si>
    <t>REASEC</t>
  </si>
  <si>
    <t>REGIOCIT ROZTOK PRO HEMOFILTRACI</t>
  </si>
  <si>
    <t>HFL SOL 2X5000ML</t>
  </si>
  <si>
    <t>REMESTYP 1.0</t>
  </si>
  <si>
    <t>INJ 5X10ML/1MG</t>
  </si>
  <si>
    <t>REMOOD 20 MG</t>
  </si>
  <si>
    <t>RINGERFUNDIN B.BRAUN</t>
  </si>
  <si>
    <t>INF SOL 10X500ML PE</t>
  </si>
  <si>
    <t>INF SOL10X1000ML PE</t>
  </si>
  <si>
    <t>RINGERUV ROZTOK BRAUN</t>
  </si>
  <si>
    <t>INF 10X500ML(LDPE)</t>
  </si>
  <si>
    <t>INF 10X1000ML(LDPE)</t>
  </si>
  <si>
    <t>RORENDO ORO TAB 2 MG</t>
  </si>
  <si>
    <t>POR TBL DIS 30X2MG</t>
  </si>
  <si>
    <t>RYTMONORM 150MG</t>
  </si>
  <si>
    <t>TBL FLM 50</t>
  </si>
  <si>
    <t>SANDOSTATIN 0.1 MG/ML</t>
  </si>
  <si>
    <t>INJ SOL 5X1ML/0.1MG</t>
  </si>
  <si>
    <t>SANVAL 10 MG</t>
  </si>
  <si>
    <t>POR TBL FLM 20X10MG</t>
  </si>
  <si>
    <t>SEROPRAM</t>
  </si>
  <si>
    <t>INF 5X0.5ML/20MG</t>
  </si>
  <si>
    <t>SIOFOR 500</t>
  </si>
  <si>
    <t>TBL OBD 60X500MG</t>
  </si>
  <si>
    <t>SOLU-MEDROL</t>
  </si>
  <si>
    <t>INJ SIC 1X40MG+1ML</t>
  </si>
  <si>
    <t>SOLUVIT N PRO INFUS.</t>
  </si>
  <si>
    <t>INJ SIC 10</t>
  </si>
  <si>
    <t>SORBIFER DURULES</t>
  </si>
  <si>
    <t>TBL FLM 60X320MG/60MG</t>
  </si>
  <si>
    <t>POR TBL FLM 100X100MG</t>
  </si>
  <si>
    <t>SUBCUVIA 160 G/L</t>
  </si>
  <si>
    <t>160MG/ML INJ SOL 1X5ML</t>
  </si>
  <si>
    <t>SUFENTA FORTE I.V.</t>
  </si>
  <si>
    <t>INJ 5X1ML/0.05MG</t>
  </si>
  <si>
    <t>SUFENTANIL TORREX 50 MCG/ML</t>
  </si>
  <si>
    <t>INJ SOL 5X5ML/250RG</t>
  </si>
  <si>
    <t>SUPP.GLYCERINI SANOVA Glycerín.čípky Extra 3g 10ks</t>
  </si>
  <si>
    <t>SUPPOSITORIA GLYCERINI LECIVA</t>
  </si>
  <si>
    <t>SUP 10X2.35GM</t>
  </si>
  <si>
    <t>SURGAM LÉČIVA</t>
  </si>
  <si>
    <t>300MG TBL NOB 20</t>
  </si>
  <si>
    <t>SUXAMETHONIUM CHLORID VUAB 100MG</t>
  </si>
  <si>
    <t>INJ/INF PLV SOL 1x100MG</t>
  </si>
  <si>
    <t>SYMBICORT TURBUHALER 400 MIKROGRAMŮ/12 MIKROGRAMŮ/</t>
  </si>
  <si>
    <t>INH PLV 1X60DÁV</t>
  </si>
  <si>
    <t>SYNTOPHYLLIN</t>
  </si>
  <si>
    <t>INJ 5X10ML/240MG</t>
  </si>
  <si>
    <t>SYNTOSTIGMIN</t>
  </si>
  <si>
    <t>TBL 20X15MG(BLISTR)</t>
  </si>
  <si>
    <t>TALCID</t>
  </si>
  <si>
    <t>CTB 20X500MG</t>
  </si>
  <si>
    <t>TARDYFERON</t>
  </si>
  <si>
    <t>TBL RET 30</t>
  </si>
  <si>
    <t>TELMISARTAN/HYDROCHLOROTHIAZID SANDOZ 80 MG/12,5 M</t>
  </si>
  <si>
    <t>POR TBL FLM 30</t>
  </si>
  <si>
    <t>TENAXUM</t>
  </si>
  <si>
    <t>TBL 30X1MG</t>
  </si>
  <si>
    <t>TENSAMIN</t>
  </si>
  <si>
    <t>INJ 10X5ML</t>
  </si>
  <si>
    <t>TETRASPAN 10%</t>
  </si>
  <si>
    <t>TETRASPAN 6%</t>
  </si>
  <si>
    <t>THIOPENTAL VALEANT 10x1G</t>
  </si>
  <si>
    <t>INJ PLV SOL 10</t>
  </si>
  <si>
    <t>THIOPENTAL VUAB INJ. PLV. SOL. 0,5 G</t>
  </si>
  <si>
    <t>INJ PLV SOL 1X0.5GM</t>
  </si>
  <si>
    <t>THIOPENTAL VUAB INJ. PLV. SOL. 1,0 G</t>
  </si>
  <si>
    <t>INJ PLV SOL 1X1GM</t>
  </si>
  <si>
    <t>TIAPRIDAL</t>
  </si>
  <si>
    <t>INJ SOL 12X2ML/100MG</t>
  </si>
  <si>
    <t>TIMO-COMOD 0,5%</t>
  </si>
  <si>
    <t>OPH GTT SOL 2X10ML</t>
  </si>
  <si>
    <t>TONARSSA 4 MG/5 MG</t>
  </si>
  <si>
    <t>POR TBL NOB 30</t>
  </si>
  <si>
    <t>TORECAN</t>
  </si>
  <si>
    <t>INJ 5X1ML/6.5MG</t>
  </si>
  <si>
    <t>TRACUTIL</t>
  </si>
  <si>
    <t>INF 5X10ML</t>
  </si>
  <si>
    <t>TRALGIT GTT.</t>
  </si>
  <si>
    <t>POR GTT SOL 1X96ML</t>
  </si>
  <si>
    <t>TRAMAL</t>
  </si>
  <si>
    <t>GTT 1X96ML</t>
  </si>
  <si>
    <t>TRANEXAMIC ACID ACCORD</t>
  </si>
  <si>
    <t>100MG/ML INJ SOL 5X5ML I</t>
  </si>
  <si>
    <t>TRANSMETIL 500 MG TABLETY</t>
  </si>
  <si>
    <t>POR TBL ENT 10X500MG</t>
  </si>
  <si>
    <t>TRENTAL 400</t>
  </si>
  <si>
    <t>POR TBL RET 100X400MG</t>
  </si>
  <si>
    <t>TRIAMCINOLON S LECIVA</t>
  </si>
  <si>
    <t>UNG 30GM</t>
  </si>
  <si>
    <t>TRIPLIXAM 10 MG/2,5 MG/5 MG</t>
  </si>
  <si>
    <t>TRIPLIXAM 5 MG/1,25 MG/5 MG</t>
  </si>
  <si>
    <t>TRITACE 10 MG</t>
  </si>
  <si>
    <t>POR TBL NOB 100X10MG</t>
  </si>
  <si>
    <t>TRITACE 2,5 MG</t>
  </si>
  <si>
    <t>POR TBL NOB 20X2.5MG</t>
  </si>
  <si>
    <t>TROMBEX</t>
  </si>
  <si>
    <t>75MG TBL FLM 90</t>
  </si>
  <si>
    <t>TULIP 20 MG POTAHOVANÉ TABLETY</t>
  </si>
  <si>
    <t>ULTRACOD</t>
  </si>
  <si>
    <t>URALYT U</t>
  </si>
  <si>
    <t>POR GRA 1X280GM</t>
  </si>
  <si>
    <t>VENLAFAXIN MYLAN 75 MG</t>
  </si>
  <si>
    <t>POR CPS PRO 30X75MG</t>
  </si>
  <si>
    <t>VENTOLIN ROZTOK K INHALACI</t>
  </si>
  <si>
    <t>INH SOL1X20ML/120MG</t>
  </si>
  <si>
    <t>VEROSPIRON</t>
  </si>
  <si>
    <t>TBL 20X25MG</t>
  </si>
  <si>
    <t>VIDISIC</t>
  </si>
  <si>
    <t>GEL OPH 1X10GM</t>
  </si>
  <si>
    <t>VITALIPID N ADULT</t>
  </si>
  <si>
    <t>VITAMIN B12 LECIVA 300RG</t>
  </si>
  <si>
    <t>INJ 5X1ML/300RG</t>
  </si>
  <si>
    <t>VOLUVEN  6%</t>
  </si>
  <si>
    <t>INF SOL 20X500MLVAK+P</t>
  </si>
  <si>
    <t>VOLUVEN 10% 500 ML</t>
  </si>
  <si>
    <t>INF. 10X500 ML</t>
  </si>
  <si>
    <t>WARFARIN PMCS 5 MG</t>
  </si>
  <si>
    <t>POR TBL NOB 100X5MG</t>
  </si>
  <si>
    <t>XADOS 20 MG TABLETY</t>
  </si>
  <si>
    <t>POR TBL NOB 30X20MG</t>
  </si>
  <si>
    <t>POR TBL NOB 50X20MG</t>
  </si>
  <si>
    <t>ZODAC</t>
  </si>
  <si>
    <t>TBL OBD 30X10MG</t>
  </si>
  <si>
    <t>ZOLPIDEM MYLAN</t>
  </si>
  <si>
    <t>POR TBL FLM 50X10MG</t>
  </si>
  <si>
    <t>ZYLLT 75 MG</t>
  </si>
  <si>
    <t>POR TBL FLM 28X75MG</t>
  </si>
  <si>
    <t>ZYRTEC</t>
  </si>
  <si>
    <t>léky - parenterální výživa (LEK)</t>
  </si>
  <si>
    <t>AMINOMIX 2 NOVUM</t>
  </si>
  <si>
    <t>INF SOL4X2000ML</t>
  </si>
  <si>
    <t>AMINOPLASMAL 15%</t>
  </si>
  <si>
    <t>INF 10X500ML</t>
  </si>
  <si>
    <t>AMINOPLASMAL B.BRAUN 10%</t>
  </si>
  <si>
    <t>INF SOL 10X500ML</t>
  </si>
  <si>
    <t>AMINOPLASMAL B.BRAUN 5% E</t>
  </si>
  <si>
    <t>AMINOPLASMAL HEPA-10%</t>
  </si>
  <si>
    <t>CLINOLEIC 20%</t>
  </si>
  <si>
    <t>200MG/ML INF EML 20X250ML</t>
  </si>
  <si>
    <t>ELOTRACE I.V.</t>
  </si>
  <si>
    <t>INF 10X100ML</t>
  </si>
  <si>
    <t>LIPOPLUS 20%</t>
  </si>
  <si>
    <t>INFEML10X100ML-SKLO</t>
  </si>
  <si>
    <t>INFEML10X250ML-SKLO</t>
  </si>
  <si>
    <t>INFEML10X500ML-SKLO</t>
  </si>
  <si>
    <t>NEPHROTECT</t>
  </si>
  <si>
    <t>NUTRAMIN VLI</t>
  </si>
  <si>
    <t>INF 1X500ML</t>
  </si>
  <si>
    <t>NUTRIFLEX OMEGA SPECIAL</t>
  </si>
  <si>
    <t>INF EML 5X625ML</t>
  </si>
  <si>
    <t>NUTRIFLEX PERI</t>
  </si>
  <si>
    <t>INF SOL 5X2000ML</t>
  </si>
  <si>
    <t>OLICLINOMEL N8-800</t>
  </si>
  <si>
    <t>INF EML4X2000ML</t>
  </si>
  <si>
    <t>OLIMEL N9</t>
  </si>
  <si>
    <t>OLIMEL N9E</t>
  </si>
  <si>
    <t>SMOFKABIVEN EXTRA NITROGEN</t>
  </si>
  <si>
    <t>INF EML 4X2025ML</t>
  </si>
  <si>
    <t>SMOFLIPID</t>
  </si>
  <si>
    <t>INF EML 10X500ML</t>
  </si>
  <si>
    <t>léky - enterální výživa (LEK)</t>
  </si>
  <si>
    <t>Calogen Neutral 4x200ml</t>
  </si>
  <si>
    <t>CUBITAN S PŘÍCHUTÍ JAHODOVOU</t>
  </si>
  <si>
    <t>POR SOL 4X200ML</t>
  </si>
  <si>
    <t>CUBITAN S PŘÍCHUTÍ VANILKOVOU</t>
  </si>
  <si>
    <t>DIASIP S PŘÍCHUTÍ CAPPUCCINO</t>
  </si>
  <si>
    <t>DIASIP S PŘÍCHUTÍ JAHODOVOU</t>
  </si>
  <si>
    <t>POR SOL 1X200ML</t>
  </si>
  <si>
    <t>DIASIP S PŘÍCHUTÍ VANILKOVOU</t>
  </si>
  <si>
    <t>ENSURE PLUS ADVANCE ČOKOLÁDOVÁ PŘÍCHUŤ</t>
  </si>
  <si>
    <t>ENSURE PLUS ADVANCE VANILKA</t>
  </si>
  <si>
    <t>FRESUBIN 2 KCAL HP FIBRE</t>
  </si>
  <si>
    <t>POR SOL 15X500ML</t>
  </si>
  <si>
    <t>Fresubin hepa 15x500ml</t>
  </si>
  <si>
    <t>NEPRO HP 500ml vanilková</t>
  </si>
  <si>
    <t>NUTRIDRINK COMPACT S PŘÍCHUTÍ VANILKOVOU</t>
  </si>
  <si>
    <t>POR SOL 4X125ML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</si>
  <si>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</si>
  <si>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</si>
  <si>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</si>
  <si>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</si>
  <si>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</si>
  <si>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</si>
  <si>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</si>
  <si>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</si>
  <si>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S PŘÍCHUTÍ BANÁNOVOU</t>
  </si>
  <si>
    <t>NUTRIDRINK S PŘÍCHUTÍ ČOKOLÁDOVOU</t>
  </si>
  <si>
    <t>NUTRIDRINK S PŘÍCHUTÍ JAHODOVOU</t>
  </si>
  <si>
    <t>NUTRIDRINK S PŘÍCHUTÍ VANILKOVOU</t>
  </si>
  <si>
    <t>NUTRISON</t>
  </si>
  <si>
    <t>POR SOL 8X1000ML</t>
  </si>
  <si>
    <t>POR SOL 1X500ML</t>
  </si>
  <si>
    <t>Nutrison Advanced Diason 1000ml</t>
  </si>
  <si>
    <t>Nutrison Advanced Protison 500ml</t>
  </si>
  <si>
    <t>1X500ML</t>
  </si>
  <si>
    <t>NUTRISON MULTI FIBRE</t>
  </si>
  <si>
    <t>POR SOL 1X1000ML-VA</t>
  </si>
  <si>
    <t>NUTRISON PROTEIN PLUS MULTI FIBRE</t>
  </si>
  <si>
    <t>POR SOL 8X500ML</t>
  </si>
  <si>
    <t>OXEPA</t>
  </si>
  <si>
    <t>Peptamen Intense 12x500ml</t>
  </si>
  <si>
    <t>PROTIFAR</t>
  </si>
  <si>
    <t>POR PLV SOL 1X225GM</t>
  </si>
  <si>
    <t>léky - krev.deriváty ZUL (TO)</t>
  </si>
  <si>
    <t>ALBUNORM 20%</t>
  </si>
  <si>
    <t>200G/L INF SOL 1X100ML</t>
  </si>
  <si>
    <t>ATENATIV</t>
  </si>
  <si>
    <t>50IU/ML INF PSO LQF 1+1X20ML</t>
  </si>
  <si>
    <t>50IU/ML INF PSO LQF 1+1X10ML</t>
  </si>
  <si>
    <t>HAEMOCOMPLETTAN P</t>
  </si>
  <si>
    <t>20MG/ML INJ/INF PLV SOL 1X1000MG</t>
  </si>
  <si>
    <t>HUMAN ALBUMIN 200 G/L BAXTER</t>
  </si>
  <si>
    <t>KIOVIG</t>
  </si>
  <si>
    <t>100MG/ML INF SOL 1X100ML</t>
  </si>
  <si>
    <t>OCPLEX</t>
  </si>
  <si>
    <t>1000IU INF PSO LQF 1+1X40ML</t>
  </si>
  <si>
    <t>500IU INF PSO LQF 1+1X20ML</t>
  </si>
  <si>
    <t>OCTAPLAS LG</t>
  </si>
  <si>
    <t>45-70MG/ML INF SOL 1X200ML</t>
  </si>
  <si>
    <t>léky - hemofilici ZUL (TO)</t>
  </si>
  <si>
    <t>FACTOR VII BAXALTA</t>
  </si>
  <si>
    <t>600IU INJ PSO LQF 1+1X10ML</t>
  </si>
  <si>
    <t>WILATE 500</t>
  </si>
  <si>
    <t>500IU VWF/500IU FVIII INJ PSO LQF 1+1X5ML</t>
  </si>
  <si>
    <t>léky - antibiotika (LEK)</t>
  </si>
  <si>
    <t>ABAKTAL</t>
  </si>
  <si>
    <t>INJ 10X5ML/400MG</t>
  </si>
  <si>
    <t>Amikacin B.Braun 5mg/ml EP 100ml</t>
  </si>
  <si>
    <t>10X100ml</t>
  </si>
  <si>
    <t>AMIKACIN MEDOPHARM 500 MG/2 ML</t>
  </si>
  <si>
    <t>INJ+INF SOL 10X2ML/500MG</t>
  </si>
  <si>
    <t>AMOKSIKLAV 1.2GM</t>
  </si>
  <si>
    <t>INJ SIC 5X1.2GM</t>
  </si>
  <si>
    <t>AMOKSIKLAV 1G</t>
  </si>
  <si>
    <t>TBL OBD 14X1GM</t>
  </si>
  <si>
    <t>AMPICILIN 0,5 BIOTIKA-výpadek</t>
  </si>
  <si>
    <t>INJ PLV SOL 10X500MG</t>
  </si>
  <si>
    <t>AMPICILIN 1,0 BIOTIKA</t>
  </si>
  <si>
    <t>INJ PLV SOL 10X1000MG</t>
  </si>
  <si>
    <t>ARCHIFAR 1 G</t>
  </si>
  <si>
    <t>INJ+INF PLV SOL 10X1GM</t>
  </si>
  <si>
    <t>AXETINE 1,5GM</t>
  </si>
  <si>
    <t>INJ SIC 10X1.5GM</t>
  </si>
  <si>
    <t>AZEPO 1 G</t>
  </si>
  <si>
    <t>BELOGENT KRÉM</t>
  </si>
  <si>
    <t>CRM 1X30GM</t>
  </si>
  <si>
    <t>BENEMICIN 300 MG</t>
  </si>
  <si>
    <t>CPS 100X300MG</t>
  </si>
  <si>
    <t>CEFTAZIDIM KABI 1 GM</t>
  </si>
  <si>
    <t>INJ PLV SOL 10X1GM</t>
  </si>
  <si>
    <t>CEFTAZIDIM KABI 2 GM</t>
  </si>
  <si>
    <t>INJ+INF PLV SOL 10X2GM</t>
  </si>
  <si>
    <t>CEFTRIAXON KABI 2 G</t>
  </si>
  <si>
    <t>INF PLV SOL 10X2GM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</si>
  <si>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</si>
  <si>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</si>
  <si>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</si>
  <si>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</si>
  <si>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</si>
  <si>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</si>
  <si>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</si>
  <si>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1 000 000 MJ</t>
  </si>
  <si>
    <t>1000000IU INJ PLV SOL/SOL NEB 10X1MIU</t>
  </si>
  <si>
    <t>DILIZOLEN 2 MG/ML</t>
  </si>
  <si>
    <t>INF SOL 10X300ML/600MG</t>
  </si>
  <si>
    <t>ENTIZOL</t>
  </si>
  <si>
    <t>FRAMYKOIN</t>
  </si>
  <si>
    <t>UNG 1X10GM</t>
  </si>
  <si>
    <t>FUROLIN TABLETY</t>
  </si>
  <si>
    <t xml:space="preserve">Gentamicin B.Braun 1mg/ml </t>
  </si>
  <si>
    <t>inf.sol.20 x 80 ml</t>
  </si>
  <si>
    <t>GENTAMICIN B.BRAUN INF SOL 240MG</t>
  </si>
  <si>
    <t>3MG/ML 20X80ML</t>
  </si>
  <si>
    <t>GENTAMICIN LEK 80 MG/2 ML</t>
  </si>
  <si>
    <t>INJ SOL 10X2ML/80MG</t>
  </si>
  <si>
    <t>KLACID I.V.</t>
  </si>
  <si>
    <t>INF PLV SOL 1X500MG</t>
  </si>
  <si>
    <t>LINEZOLID KRKA</t>
  </si>
  <si>
    <t>2MG/ML INF SOL 1X300ML</t>
  </si>
  <si>
    <t>MAXIPIME 1GM</t>
  </si>
  <si>
    <t>INJ SIC 1X1GM</t>
  </si>
  <si>
    <t>MEROPENEM KABI 1 G</t>
  </si>
  <si>
    <t>INJ+INF PLV SOL 10X1000MG</t>
  </si>
  <si>
    <t>METRONIDAZOL 500MG BRAUN</t>
  </si>
  <si>
    <t>INJ 10X100ML(LDPE)</t>
  </si>
  <si>
    <t>METRONIDAZOLE 0.5% POLFA</t>
  </si>
  <si>
    <t>INJ 1X100ML 5MG/1ML</t>
  </si>
  <si>
    <t>OFLOXIN INF</t>
  </si>
  <si>
    <t>INF SOL 10X100ML</t>
  </si>
  <si>
    <t>OPHTHALMO-FRAMYKOIN</t>
  </si>
  <si>
    <t>PAMYCON NA PŘÍPRAVU KAPEK</t>
  </si>
  <si>
    <t>DRM PLV SOL 1X1LAH</t>
  </si>
  <si>
    <t>PIPERACILLIN/TAZOBACTAM KABI 4 G/0,5 G</t>
  </si>
  <si>
    <t>INF PLV SOL 10X4.5GM</t>
  </si>
  <si>
    <t>PIPERACILLIN/TAZOBACTAM MYLAN</t>
  </si>
  <si>
    <t xml:space="preserve">INF PLV SOL 1x4G/500MG </t>
  </si>
  <si>
    <t>PROSTAPHLIN 1000MG</t>
  </si>
  <si>
    <t>INJ SIC 1X1000MG</t>
  </si>
  <si>
    <t>SEFOTAK 1 G</t>
  </si>
  <si>
    <t>SUMETROLIM</t>
  </si>
  <si>
    <t>TBL 20X480MG</t>
  </si>
  <si>
    <t>TIENAM 500 MG/500 MG I.V.</t>
  </si>
  <si>
    <t>INF PLV SOL 1X10LAH/20ML</t>
  </si>
  <si>
    <t>TOBREX</t>
  </si>
  <si>
    <t>GTT OPH 5ML 3MG/1ML</t>
  </si>
  <si>
    <t>TYGACIL 50 MG</t>
  </si>
  <si>
    <t>INF PLV SOL 10X50MG/5ML</t>
  </si>
  <si>
    <t>UNASYN</t>
  </si>
  <si>
    <t>INJ PLV SOL 1X1.5GM</t>
  </si>
  <si>
    <t>VANCOMYCIN MYLAN 1000 MG</t>
  </si>
  <si>
    <t>INF PLV SOL 1X1GM</t>
  </si>
  <si>
    <t>VANCOMYCIN MYLAN 500 MG</t>
  </si>
  <si>
    <t>VULMIZOLIN 1,0</t>
  </si>
  <si>
    <t>ZERBAXA</t>
  </si>
  <si>
    <t>1G/0,5G INF PLV CSL 10</t>
  </si>
  <si>
    <t>ZYVOXID</t>
  </si>
  <si>
    <t>INF SOL 10X300ML</t>
  </si>
  <si>
    <t>léky - antimykotika (LEK)</t>
  </si>
  <si>
    <t>CLOTRIMAZOL AL 1%</t>
  </si>
  <si>
    <t>CRM 1X50GM 1%</t>
  </si>
  <si>
    <t>DIFLUCAN 100 MG</t>
  </si>
  <si>
    <t>POR CPS DUR 28X100MG</t>
  </si>
  <si>
    <t>ECALTA 100 MG</t>
  </si>
  <si>
    <t>INF PLV CSL 100MG+30ML</t>
  </si>
  <si>
    <t>FLUCONAZOL KABI 2 MG/ML</t>
  </si>
  <si>
    <t>INF SOL 10X100ML/200MG</t>
  </si>
  <si>
    <t>INF SOL 10X200ML/400MG</t>
  </si>
  <si>
    <t>IMAZOL PLUS</t>
  </si>
  <si>
    <t>DRM CRM 1X30GM</t>
  </si>
  <si>
    <t>MYCAMINE 100 MG</t>
  </si>
  <si>
    <t>INF PLV SOL 1X100MG</t>
  </si>
  <si>
    <t>VORICONAZOLE ACCORD</t>
  </si>
  <si>
    <t>INF PLV SOL 1x200MG</t>
  </si>
  <si>
    <t>VORICONAZOLE TEVA</t>
  </si>
  <si>
    <t>200MG INF PLV SOL 1</t>
  </si>
  <si>
    <t>5931 - IPCHO: JIP 51</t>
  </si>
  <si>
    <t>A02BC02 - PANTOPRAZOL</t>
  </si>
  <si>
    <t>A04AA01 - ONDANSETRON</t>
  </si>
  <si>
    <t>A07DA - ANTIPROPULZIVA</t>
  </si>
  <si>
    <t>A10BB12 - GLIMEPIRID</t>
  </si>
  <si>
    <t>B01AA03 - WARFARIN</t>
  </si>
  <si>
    <t>B01AB06 - NADROPARIN</t>
  </si>
  <si>
    <t>B01AC04 - KLOPIDOGREL</t>
  </si>
  <si>
    <t>C01BC03 - PROPAFENON</t>
  </si>
  <si>
    <t>C01BD01 - AMIODARON</t>
  </si>
  <si>
    <t>C03CA01 - FUROSEMID</t>
  </si>
  <si>
    <t>C05BA01 - ORGANO-HEPARINOID</t>
  </si>
  <si>
    <t>C07AB02 - METOPROLOL</t>
  </si>
  <si>
    <t>C07AB03 - ATENOLOL</t>
  </si>
  <si>
    <t>C07AB05 - BETAXOLOL</t>
  </si>
  <si>
    <t>C07AB07 - BISOPROLOL</t>
  </si>
  <si>
    <t>C08CA01 - AMLODIPIN</t>
  </si>
  <si>
    <t>C09AA04 - PERINDOPRIL</t>
  </si>
  <si>
    <t>C09AA05 - RAMIPRIL</t>
  </si>
  <si>
    <t>C09BB04 - PERINDOPRIL A AMLODIPIN</t>
  </si>
  <si>
    <t>C09DA07 - TELMISARTAN A DIURETIKA</t>
  </si>
  <si>
    <t>C10AA05 - ATORVASTATIN</t>
  </si>
  <si>
    <t>H01CB02 - OKTREOTID</t>
  </si>
  <si>
    <t>H02AB04 - METHYLPREDNISOLON</t>
  </si>
  <si>
    <t>H02AB09 - HYDROKORTISON</t>
  </si>
  <si>
    <t>J01AA12 - TIGECYKLIN</t>
  </si>
  <si>
    <t>J01DD01 - CEFOTAXIM</t>
  </si>
  <si>
    <t>J01DH02 - MEROPENEM</t>
  </si>
  <si>
    <t>J01FF01 - KLINDAMYCIN</t>
  </si>
  <si>
    <t>J01GB06 - AMIKACIN</t>
  </si>
  <si>
    <t>J01MA03 - PEFLOXACIN</t>
  </si>
  <si>
    <t>J01XA01 - VANKOMYCIN</t>
  </si>
  <si>
    <t>J01XD01 - METRONIDAZOL</t>
  </si>
  <si>
    <t>J01XX08 - LINEZOLID</t>
  </si>
  <si>
    <t>J02AC01 - FLUKONAZOL</t>
  </si>
  <si>
    <t>J02AC03 - VORIKONAZOL</t>
  </si>
  <si>
    <t>J02AX06 - ANIDULAFUNGIN</t>
  </si>
  <si>
    <t>J05AB01 - ACIKLOVIR</t>
  </si>
  <si>
    <t>J06BA01 - IMUNOGLOBULINY, NORMÁLNÍ LIDSKÉ, PRO EXTRAVASKULÁRNÍ APLIKAC</t>
  </si>
  <si>
    <t>M01AX17 - NIMESULID</t>
  </si>
  <si>
    <t>M03AC09 - ROKURONIUM-BROMID</t>
  </si>
  <si>
    <t>M04AA01 - ALOPURINOL</t>
  </si>
  <si>
    <t>N01AF03 - THIOPENTAL</t>
  </si>
  <si>
    <t>N01AX10 - PROPOFOL</t>
  </si>
  <si>
    <t>N01BB10 - LEVOBUPIVAKAIN</t>
  </si>
  <si>
    <t>N02BB02 - SODNÁ SŮL METAMIZOLU</t>
  </si>
  <si>
    <t>N02BE01 - PARACETAMOL</t>
  </si>
  <si>
    <t>N03AG01 - KYSELINA VALPROOVÁ</t>
  </si>
  <si>
    <t>N03AX16 - PREGABALIN</t>
  </si>
  <si>
    <t>N05BA12 - ALPRAZOLAM</t>
  </si>
  <si>
    <t>N05CD08 - MIDAZOLAM</t>
  </si>
  <si>
    <t>N05CF02 - ZOLPIDEM</t>
  </si>
  <si>
    <t>N06AB04 - CITALOPRAM</t>
  </si>
  <si>
    <t>N06AB05 - PAROXETIN</t>
  </si>
  <si>
    <t>N06AB10 - ESCITALOPRAM</t>
  </si>
  <si>
    <t>N06AX16 - VENLAFAXIN</t>
  </si>
  <si>
    <t>R03AC02 - SALBUTAMOL</t>
  </si>
  <si>
    <t>R05CB06 - AMBROXOL</t>
  </si>
  <si>
    <t>R06AE07 - CETIRIZIN</t>
  </si>
  <si>
    <t>R03AK07 - FORMOTEROL A BUDESONID</t>
  </si>
  <si>
    <t>C09BX01 - PERINDOPRIL, AMLODIPIN A INDAPAMID</t>
  </si>
  <si>
    <t>A03FA07 - ITOPRIDUM</t>
  </si>
  <si>
    <t>N02AJ06 - KODEIN A PARACETAMOL</t>
  </si>
  <si>
    <t>N01AH03 - SUFENTANIL</t>
  </si>
  <si>
    <t>J01CR02 - AMOXICILIN A  INHIBITOR BETA-LAKTAMASY</t>
  </si>
  <si>
    <t>N04BA02 - LEVODOPA A INHIBITOR DEKARBOXYLASY</t>
  </si>
  <si>
    <t>A06AD11 - LAKTULOSA</t>
  </si>
  <si>
    <t>A10AB05 - INSULIN ASPART</t>
  </si>
  <si>
    <t>J01CR05 - PIPERACILIN A  INHIBITOR BETA-LAKTAMASY</t>
  </si>
  <si>
    <t>H03AA01 - SODNÁ SŮL LEVOTHYROXINU</t>
  </si>
  <si>
    <t>V06XX - POTRAVINY PRO ZVLÁŠTNÍ LÉKAŘSKÉ ÚČELY (PZLÚ) (ČESKÁ ATC SKUP</t>
  </si>
  <si>
    <t>A02BC02</t>
  </si>
  <si>
    <t>214427</t>
  </si>
  <si>
    <t>40MG INJ PLV SOL 1</t>
  </si>
  <si>
    <t>214435</t>
  </si>
  <si>
    <t>CONTROLOC</t>
  </si>
  <si>
    <t>20MG TBL ENT 100</t>
  </si>
  <si>
    <t>A03FA07</t>
  </si>
  <si>
    <t>166759</t>
  </si>
  <si>
    <t>KINITO</t>
  </si>
  <si>
    <t>50MG TBL FLM 40(4X10)</t>
  </si>
  <si>
    <t>166760</t>
  </si>
  <si>
    <t>50MG TBL FLM 100(10X10)</t>
  </si>
  <si>
    <t>A04AA01</t>
  </si>
  <si>
    <t>11635</t>
  </si>
  <si>
    <t>ONDANSETRON SANDOZ</t>
  </si>
  <si>
    <t>8MG TBL FLM 10</t>
  </si>
  <si>
    <t>187607</t>
  </si>
  <si>
    <t>ONDANSETRON B. BRAUN</t>
  </si>
  <si>
    <t>2MG/ML INJ SOL 20X4ML II</t>
  </si>
  <si>
    <t>A06AD11</t>
  </si>
  <si>
    <t>215715</t>
  </si>
  <si>
    <t>667MG/ML POR SOL 1X500ML II</t>
  </si>
  <si>
    <t>A07DA</t>
  </si>
  <si>
    <t>30652</t>
  </si>
  <si>
    <t>2,5MG/0,025MG TBL NOB 20</t>
  </si>
  <si>
    <t>A10AB05</t>
  </si>
  <si>
    <t>26786</t>
  </si>
  <si>
    <t>NOVORAPID</t>
  </si>
  <si>
    <t>100U/ML INJ SOL 1X10ML</t>
  </si>
  <si>
    <t>A10BB12</t>
  </si>
  <si>
    <t>12098</t>
  </si>
  <si>
    <t>B01AA03</t>
  </si>
  <si>
    <t>192342</t>
  </si>
  <si>
    <t>WARFARIN PMCS</t>
  </si>
  <si>
    <t>5MG TBL NOB 100 I</t>
  </si>
  <si>
    <t>B01AB06</t>
  </si>
  <si>
    <t>213477</t>
  </si>
  <si>
    <t>9500IU/ML INJ SOL 10X5ML</t>
  </si>
  <si>
    <t>213494</t>
  </si>
  <si>
    <t>9500IU/ML INJ SOL ISP 10X0,4ML</t>
  </si>
  <si>
    <t>B01AC04</t>
  </si>
  <si>
    <t>149480</t>
  </si>
  <si>
    <t>ZYLLT</t>
  </si>
  <si>
    <t>75MG TBL FLM 28</t>
  </si>
  <si>
    <t>169252</t>
  </si>
  <si>
    <t>C01BC03</t>
  </si>
  <si>
    <t>215904</t>
  </si>
  <si>
    <t>RYTMONORM</t>
  </si>
  <si>
    <t>150MG TBL FLM 50</t>
  </si>
  <si>
    <t>C01BD01</t>
  </si>
  <si>
    <t>107938</t>
  </si>
  <si>
    <t>150MG/3ML INJ SOL 6X3ML</t>
  </si>
  <si>
    <t>13767</t>
  </si>
  <si>
    <t>200MG TBL NOB 30</t>
  </si>
  <si>
    <t>13768</t>
  </si>
  <si>
    <t>200MG TBL NOB 60</t>
  </si>
  <si>
    <t>C03CA01</t>
  </si>
  <si>
    <t>214036</t>
  </si>
  <si>
    <t>56804</t>
  </si>
  <si>
    <t>40MG TBL NOB 50</t>
  </si>
  <si>
    <t>98219</t>
  </si>
  <si>
    <t>C05BA01</t>
  </si>
  <si>
    <t>3575</t>
  </si>
  <si>
    <t>HEPAROID LÉČIVA</t>
  </si>
  <si>
    <t>2MG/G CRM 30G</t>
  </si>
  <si>
    <t>C07AB02</t>
  </si>
  <si>
    <t>83974</t>
  </si>
  <si>
    <t>1MG/ML INJ SOL 5X5ML</t>
  </si>
  <si>
    <t>C07AB03</t>
  </si>
  <si>
    <t>2950</t>
  </si>
  <si>
    <t>50MG TBL NOB 50</t>
  </si>
  <si>
    <t>C07AB05</t>
  </si>
  <si>
    <t>49909</t>
  </si>
  <si>
    <t>LOKREN</t>
  </si>
  <si>
    <t>20MG TBL FLM 28</t>
  </si>
  <si>
    <t>C07AB07</t>
  </si>
  <si>
    <t>158692</t>
  </si>
  <si>
    <t>BISOPROLOL MYLAN</t>
  </si>
  <si>
    <t>5MG TBL FLM 30</t>
  </si>
  <si>
    <t>158697</t>
  </si>
  <si>
    <t>5MG TBL FLM 100</t>
  </si>
  <si>
    <t>94164</t>
  </si>
  <si>
    <t>CONCOR 5</t>
  </si>
  <si>
    <t>C08CA01</t>
  </si>
  <si>
    <t>15378</t>
  </si>
  <si>
    <t>AGEN</t>
  </si>
  <si>
    <t>5MG TBL NOB 90</t>
  </si>
  <si>
    <t>2945</t>
  </si>
  <si>
    <t>5MG TBL NOB 30</t>
  </si>
  <si>
    <t>2954</t>
  </si>
  <si>
    <t>10MG TBL NOB 30</t>
  </si>
  <si>
    <t>C09AA04</t>
  </si>
  <si>
    <t>101205</t>
  </si>
  <si>
    <t>101227</t>
  </si>
  <si>
    <t>101233</t>
  </si>
  <si>
    <t>10MG TBL FLM 90(3X30)</t>
  </si>
  <si>
    <t>C09AA05</t>
  </si>
  <si>
    <t>15866</t>
  </si>
  <si>
    <t>TRITACE</t>
  </si>
  <si>
    <t>10MG TBL NOB 100</t>
  </si>
  <si>
    <t>56976</t>
  </si>
  <si>
    <t>2,5MG TBL NOB 20</t>
  </si>
  <si>
    <t>C09BB04</t>
  </si>
  <si>
    <t>124091</t>
  </si>
  <si>
    <t>PRESTANCE</t>
  </si>
  <si>
    <t>5MG/5MG TBL NOB 90(3X30)</t>
  </si>
  <si>
    <t>187788</t>
  </si>
  <si>
    <t>TONARSSA</t>
  </si>
  <si>
    <t>4MG/5MG TBL NOB 30</t>
  </si>
  <si>
    <t>C09BX01</t>
  </si>
  <si>
    <t>190958</t>
  </si>
  <si>
    <t>TRIPLIXAM</t>
  </si>
  <si>
    <t>5MG/1,25MG/5MG TBL FLM 30</t>
  </si>
  <si>
    <t>190968</t>
  </si>
  <si>
    <t>10MG/2,5MG/5MG TBL FLM 30</t>
  </si>
  <si>
    <t>C09DA07</t>
  </si>
  <si>
    <t>189657</t>
  </si>
  <si>
    <t>TELMISARTAN/HYDROCHLOROTHIAZID SANDOZ</t>
  </si>
  <si>
    <t>80MG/12,5MG TBL FLM 30</t>
  </si>
  <si>
    <t>C10AA05</t>
  </si>
  <si>
    <t>50316</t>
  </si>
  <si>
    <t>TULIP</t>
  </si>
  <si>
    <t>20MG TBL FLM 30X1</t>
  </si>
  <si>
    <t>H01CB02</t>
  </si>
  <si>
    <t>15245</t>
  </si>
  <si>
    <t>SANDOSTATIN</t>
  </si>
  <si>
    <t>0,1MG/ML INJ/INF SOL 5X1ML</t>
  </si>
  <si>
    <t>H02AB04</t>
  </si>
  <si>
    <t>9709</t>
  </si>
  <si>
    <t>40MG/ML INJ PSO LQF 40MG+1ML</t>
  </si>
  <si>
    <t>H02AB09</t>
  </si>
  <si>
    <t>216572</t>
  </si>
  <si>
    <t>HYDROCORTISON VUAB</t>
  </si>
  <si>
    <t>100MG INJ PLV SOL 1 II</t>
  </si>
  <si>
    <t>216670</t>
  </si>
  <si>
    <t>HYDROCORTISON VALEANT</t>
  </si>
  <si>
    <t>100MG INJ PLV SOL 1X10</t>
  </si>
  <si>
    <t>H03AA01</t>
  </si>
  <si>
    <t>169714</t>
  </si>
  <si>
    <t>LETROX</t>
  </si>
  <si>
    <t>125MCG TBL NOB 100</t>
  </si>
  <si>
    <t>172044</t>
  </si>
  <si>
    <t>150MCG TBL NOB 100</t>
  </si>
  <si>
    <t>184245</t>
  </si>
  <si>
    <t>75MCG TBL NOB 100</t>
  </si>
  <si>
    <t>187425</t>
  </si>
  <si>
    <t>50MCG TBL NOB 100</t>
  </si>
  <si>
    <t>187427</t>
  </si>
  <si>
    <t>100MCG TBL NOB 100</t>
  </si>
  <si>
    <t>J01AA12</t>
  </si>
  <si>
    <t>26127</t>
  </si>
  <si>
    <t>TYGACIL</t>
  </si>
  <si>
    <t>50MG INF PLV SOL 10</t>
  </si>
  <si>
    <t>J01CR02</t>
  </si>
  <si>
    <t>5951</t>
  </si>
  <si>
    <t>AMOKSIKLAV 1 G</t>
  </si>
  <si>
    <t>875MG/125MG TBL FLM 14</t>
  </si>
  <si>
    <t>J01CR05</t>
  </si>
  <si>
    <t>113453</t>
  </si>
  <si>
    <t>PIPERACILLIN/TAZOBACTAM KABI</t>
  </si>
  <si>
    <t>4G/0,5G INF PLV SOL 10</t>
  </si>
  <si>
    <t>141263</t>
  </si>
  <si>
    <t>4G/500MG INF PLV SOL 1</t>
  </si>
  <si>
    <t>J01DD01</t>
  </si>
  <si>
    <t>201030</t>
  </si>
  <si>
    <t>SEFOTAK</t>
  </si>
  <si>
    <t>1G INJ/INF PLV SOL 1</t>
  </si>
  <si>
    <t>J01DH02</t>
  </si>
  <si>
    <t>156835</t>
  </si>
  <si>
    <t>MEROPENEM KABI</t>
  </si>
  <si>
    <t>1G INJ/INF PLV SOL 10</t>
  </si>
  <si>
    <t>183817</t>
  </si>
  <si>
    <t>ARCHIFAR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</si>
  <si>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</si>
  <si>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</si>
  <si>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</si>
  <si>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</si>
  <si>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</si>
  <si>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</si>
  <si>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J01GB06</t>
  </si>
  <si>
    <t>141836</t>
  </si>
  <si>
    <t>AMIKACIN B. BRAUN</t>
  </si>
  <si>
    <t>5MG/ML INF SOL 10X100ML</t>
  </si>
  <si>
    <t>195147</t>
  </si>
  <si>
    <t>AMIKACIN MEDOPHARM</t>
  </si>
  <si>
    <t>500MG/2ML INJ/INF SOL 10X2ML</t>
  </si>
  <si>
    <t>J01MA03</t>
  </si>
  <si>
    <t>94155</t>
  </si>
  <si>
    <t>400MG/5ML INF SOL 10X5ML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</si>
  <si>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</si>
  <si>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</si>
  <si>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</si>
  <si>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</si>
  <si>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</si>
  <si>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</si>
  <si>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</si>
  <si>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</si>
  <si>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</si>
  <si>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97000</t>
  </si>
  <si>
    <t>METRONIDAZOLE 0,5%-POLPHARMA</t>
  </si>
  <si>
    <t>5MG/ML INF SOL 1X100ML</t>
  </si>
  <si>
    <t>J01XX08</t>
  </si>
  <si>
    <t>131290</t>
  </si>
  <si>
    <t>202911</t>
  </si>
  <si>
    <t>DILIZOLEN</t>
  </si>
  <si>
    <t>2MG/ML INF SOL 10X300ML</t>
  </si>
  <si>
    <t>3708</t>
  </si>
  <si>
    <t>2MG/ML INF SOL 10X300ML I</t>
  </si>
  <si>
    <t>J02AC01</t>
  </si>
  <si>
    <t>164401</t>
  </si>
  <si>
    <t>FLUCONAZOL KABI</t>
  </si>
  <si>
    <t>2MG/ML INF SOL 10X100ML</t>
  </si>
  <si>
    <t>164407</t>
  </si>
  <si>
    <t>2MG/ML INF SOL 10X200ML</t>
  </si>
  <si>
    <t>64942</t>
  </si>
  <si>
    <t>DIFLUCAN</t>
  </si>
  <si>
    <t>100MG CPS DUR 28 I</t>
  </si>
  <si>
    <t>J02AC03</t>
  </si>
  <si>
    <t>205772</t>
  </si>
  <si>
    <t>207309</t>
  </si>
  <si>
    <t>J02AX06</t>
  </si>
  <si>
    <t>149384</t>
  </si>
  <si>
    <t>ECALTA</t>
  </si>
  <si>
    <t>100MG INF PLV CSL 1</t>
  </si>
  <si>
    <t>J05AB01</t>
  </si>
  <si>
    <t>155939</t>
  </si>
  <si>
    <t>250MG INF PLV SOL 10</t>
  </si>
  <si>
    <t>J06BA01</t>
  </si>
  <si>
    <t>185403</t>
  </si>
  <si>
    <t>GAMMANORM</t>
  </si>
  <si>
    <t>165MG/ML INJ SOL 1X6ML</t>
  </si>
  <si>
    <t>M01AX17</t>
  </si>
  <si>
    <t>12892</t>
  </si>
  <si>
    <t>17187</t>
  </si>
  <si>
    <t>100MG POR GRA SUS 30</t>
  </si>
  <si>
    <t>M03AC09</t>
  </si>
  <si>
    <t>125002</t>
  </si>
  <si>
    <t>ESMERON</t>
  </si>
  <si>
    <t>10MG/ML INJ/INF SOL 10X5ML</t>
  </si>
  <si>
    <t>M04AA01</t>
  </si>
  <si>
    <t>127260</t>
  </si>
  <si>
    <t>N01AF03</t>
  </si>
  <si>
    <t>120406</t>
  </si>
  <si>
    <t>0,5G INJ PLV SOL 1 I</t>
  </si>
  <si>
    <t>120407</t>
  </si>
  <si>
    <t>1G INJ PLV SOL 1 I</t>
  </si>
  <si>
    <t>216674</t>
  </si>
  <si>
    <t>THIOPENTAL VALEANT</t>
  </si>
  <si>
    <t>1G INJ PLV SOL 10</t>
  </si>
  <si>
    <t>N01AH03</t>
  </si>
  <si>
    <t>21088</t>
  </si>
  <si>
    <t>SUFENTANIL TORREX</t>
  </si>
  <si>
    <t>50MCG/ML INJ SOL 5X5ML</t>
  </si>
  <si>
    <t>85526</t>
  </si>
  <si>
    <t>SUFENTA FORTE</t>
  </si>
  <si>
    <t>50MCG/ML INJ SOL 5X1ML</t>
  </si>
  <si>
    <t>N01AX10</t>
  </si>
  <si>
    <t>129027</t>
  </si>
  <si>
    <t>10MG/ML INJ/INF EML 10X100ML</t>
  </si>
  <si>
    <t>158668</t>
  </si>
  <si>
    <t>ANESIA</t>
  </si>
  <si>
    <t>10MG/ML INJ/INF EML 1X100ML</t>
  </si>
  <si>
    <t>18175</t>
  </si>
  <si>
    <t>N01BB10</t>
  </si>
  <si>
    <t>197125</t>
  </si>
  <si>
    <t>LEVOBUPIVACAINE KABI</t>
  </si>
  <si>
    <t>5MG/ML INJ/INF SOL 5X10ML</t>
  </si>
  <si>
    <t>N02AJ06</t>
  </si>
  <si>
    <t>109799</t>
  </si>
  <si>
    <t>500MG/30MG TBL NOB 30</t>
  </si>
  <si>
    <t>N02BB02</t>
  </si>
  <si>
    <t>55823</t>
  </si>
  <si>
    <t>500MG TBL FLM 20</t>
  </si>
  <si>
    <t>55824</t>
  </si>
  <si>
    <t>500MG/ML INJ SOL 5X5ML</t>
  </si>
  <si>
    <t>7981</t>
  </si>
  <si>
    <t>500MG/ML INJ SOL 10X2ML</t>
  </si>
  <si>
    <t>N02BE01</t>
  </si>
  <si>
    <t>157875</t>
  </si>
  <si>
    <t>PARACETAMOL KABI</t>
  </si>
  <si>
    <t>10MG/ML INF SOL 10X100ML</t>
  </si>
  <si>
    <t>173187</t>
  </si>
  <si>
    <t>500MG TBL FLM 24 I</t>
  </si>
  <si>
    <t>N03AG01</t>
  </si>
  <si>
    <t>151050</t>
  </si>
  <si>
    <t>400MG/4ML INJ PSO LQF 4X(1+1X4ML)</t>
  </si>
  <si>
    <t>N03AX16</t>
  </si>
  <si>
    <t>210570</t>
  </si>
  <si>
    <t>N04BA02</t>
  </si>
  <si>
    <t>45244</t>
  </si>
  <si>
    <t>ISICOM</t>
  </si>
  <si>
    <t>250MG/25MG TBL NOB 100</t>
  </si>
  <si>
    <t>N05BA12</t>
  </si>
  <si>
    <t>6618</t>
  </si>
  <si>
    <t>NEUROL</t>
  </si>
  <si>
    <t>0,5MG TBL NOB 30</t>
  </si>
  <si>
    <t>91788</t>
  </si>
  <si>
    <t>0,25MG TBL NOB 30</t>
  </si>
  <si>
    <t>N05CD08</t>
  </si>
  <si>
    <t>127736</t>
  </si>
  <si>
    <t>MIDAZOLAM ACCORD</t>
  </si>
  <si>
    <t>1MG/ML INJ/INF SOL 10X5ML</t>
  </si>
  <si>
    <t>127737</t>
  </si>
  <si>
    <t>5MG/ML INJ/INF SOL 10X1ML</t>
  </si>
  <si>
    <t>127738</t>
  </si>
  <si>
    <t>5MG/ML INJ/INF SOL 10X3ML</t>
  </si>
  <si>
    <t>184095</t>
  </si>
  <si>
    <t>5MG/ML INJ/INF SOL 10X10ML</t>
  </si>
  <si>
    <t>N05CF02</t>
  </si>
  <si>
    <t>146894</t>
  </si>
  <si>
    <t>10MG TBL FLM 20</t>
  </si>
  <si>
    <t>146899</t>
  </si>
  <si>
    <t>10MG TBL FLM 50</t>
  </si>
  <si>
    <t>198054</t>
  </si>
  <si>
    <t>SANVAL</t>
  </si>
  <si>
    <t>N06AB04</t>
  </si>
  <si>
    <t>17431</t>
  </si>
  <si>
    <t>N06AB05</t>
  </si>
  <si>
    <t>30805</t>
  </si>
  <si>
    <t>REMOOD</t>
  </si>
  <si>
    <t>N06AB10</t>
  </si>
  <si>
    <t>134502</t>
  </si>
  <si>
    <t>ELICEA</t>
  </si>
  <si>
    <t>10MG TBL FLM 28</t>
  </si>
  <si>
    <t>N06AX16</t>
  </si>
  <si>
    <t>115551</t>
  </si>
  <si>
    <t>VENLAFAXIN MYLAN</t>
  </si>
  <si>
    <t>75MG CPS PRO 30</t>
  </si>
  <si>
    <t>R03AC02</t>
  </si>
  <si>
    <t>58380</t>
  </si>
  <si>
    <t>VENTOLIN</t>
  </si>
  <si>
    <t>5MG/ML INH SOL 1X20ML</t>
  </si>
  <si>
    <t>R03AK07</t>
  </si>
  <si>
    <t>180081</t>
  </si>
  <si>
    <t>SYMBICORT TURBUHALER 400 MIKROGRAMŮ/12 MIKROGRAMŮ/INHALACE</t>
  </si>
  <si>
    <t>320MCG/9MCG INH PLV 1X60DÁV</t>
  </si>
  <si>
    <t>R05CB06</t>
  </si>
  <si>
    <t>223151</t>
  </si>
  <si>
    <t>R06AE07</t>
  </si>
  <si>
    <t>155685</t>
  </si>
  <si>
    <t>66030</t>
  </si>
  <si>
    <t>99600</t>
  </si>
  <si>
    <t>10MG TBL FLM 90</t>
  </si>
  <si>
    <t>V06XX</t>
  </si>
  <si>
    <t>217109</t>
  </si>
  <si>
    <t>217110</t>
  </si>
  <si>
    <t>33152</t>
  </si>
  <si>
    <t>POR PLV SOL 1X400G</t>
  </si>
  <si>
    <t>33220</t>
  </si>
  <si>
    <t>POR SOL 1X225G</t>
  </si>
  <si>
    <t>33339</t>
  </si>
  <si>
    <t>33340</t>
  </si>
  <si>
    <t>33420</t>
  </si>
  <si>
    <t>33527</t>
  </si>
  <si>
    <t>33530</t>
  </si>
  <si>
    <t>POR SOL 1X1000ML</t>
  </si>
  <si>
    <t>33749</t>
  </si>
  <si>
    <t>POR SOL 4X125G</t>
  </si>
  <si>
    <t>33750</t>
  </si>
  <si>
    <t>33751</t>
  </si>
  <si>
    <t>33752</t>
  </si>
  <si>
    <t>NUTRIDRINK CREME S PŘÍCHUTÍ LESNÍHO OVOCE</t>
  </si>
  <si>
    <t>33833</t>
  </si>
  <si>
    <t>33847</t>
  </si>
  <si>
    <t>33848</t>
  </si>
  <si>
    <t>33858</t>
  </si>
  <si>
    <t>33859</t>
  </si>
  <si>
    <t>33935</t>
  </si>
  <si>
    <t>33936</t>
  </si>
  <si>
    <t>Přehled plnění pozitivního listu - spotřeba léčivých přípravků - orientační přehled</t>
  </si>
  <si>
    <t>59 - Oddělení intenzivní péče chirurgických oborů</t>
  </si>
  <si>
    <t>5931 - JIP 51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</si>
  <si>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</si>
  <si>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</si>
  <si>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</si>
  <si>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</si>
  <si>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</si>
  <si>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</si>
  <si>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</si>
  <si>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</si>
  <si>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</si>
  <si>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</si>
  <si>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</si>
  <si>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50115090 - ZPr - zubolékařský materiál (Z509)</t>
  </si>
  <si>
    <t>50115020</t>
  </si>
  <si>
    <t>laboratorní diagnostika-LEK (Z501)</t>
  </si>
  <si>
    <t>DI188</t>
  </si>
  <si>
    <t>AB0 souprava 30 testů k lůžku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</si>
  <si>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</si>
  <si>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</si>
  <si>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</si>
  <si>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</si>
  <si>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</si>
  <si>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</si>
  <si>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</si>
  <si>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</si>
  <si>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DH759</t>
  </si>
  <si>
    <t>Bactec Lytic/ 10 Anaerobic- plastic</t>
  </si>
  <si>
    <t>DH758</t>
  </si>
  <si>
    <t>Bactec Plus Aerobic-plastic</t>
  </si>
  <si>
    <t>DH594</t>
  </si>
  <si>
    <t>Cartridge complete k tromboelastografu ROTEM</t>
  </si>
  <si>
    <t>DC515</t>
  </si>
  <si>
    <t>Čistící roztok k dekontaminaci 100 ml  (HYPOCHLORID.ROZTOK,S5362)</t>
  </si>
  <si>
    <t>DG395</t>
  </si>
  <si>
    <t>Diagnostická souprava AB0 set monoklonální na 30</t>
  </si>
  <si>
    <t>DG379</t>
  </si>
  <si>
    <t>Doprava 21%</t>
  </si>
  <si>
    <t>DE022</t>
  </si>
  <si>
    <t>Glukózová membránová souprava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</si>
  <si>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</si>
  <si>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</si>
  <si>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</si>
  <si>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</si>
  <si>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</si>
  <si>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</si>
  <si>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DF166</t>
  </si>
  <si>
    <t>KALIBRAČNÍ ROZTOK 2  S1830 (ABL 825)</t>
  </si>
  <si>
    <t>DD309</t>
  </si>
  <si>
    <t>Laktátová membránová souprava</t>
  </si>
  <si>
    <t>DC959</t>
  </si>
  <si>
    <t>MEMBRÁNOVÁ SOUPRAVA  Na+</t>
  </si>
  <si>
    <t>DD268</t>
  </si>
  <si>
    <t>MEMBRÁNOVÁ SOUPRAVA Ca</t>
  </si>
  <si>
    <t>DD269</t>
  </si>
  <si>
    <t>MEMBRÁNOVÁ SOUPRAVA Cl</t>
  </si>
  <si>
    <t>DB942</t>
  </si>
  <si>
    <t>MEMBRÁNOVÁ SOUPRAVA pCO2</t>
  </si>
  <si>
    <t>DD076</t>
  </si>
  <si>
    <t>MEMBRÁNOVÁ SOUPRAVA pO2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</si>
  <si>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</si>
  <si>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</si>
  <si>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</si>
  <si>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</si>
  <si>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</si>
  <si>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</si>
  <si>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</si>
  <si>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</si>
  <si>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DC634</t>
  </si>
  <si>
    <t>THB KALIBRAČNÍ ROZTOK,S7770</t>
  </si>
  <si>
    <t>50115040</t>
  </si>
  <si>
    <t>laboratorní materiál (Z505)</t>
  </si>
  <si>
    <t>ZC048</t>
  </si>
  <si>
    <t>Miska třecí drsná 211a/0 6,0 cm JIZE211A/0</t>
  </si>
  <si>
    <t>ZC081</t>
  </si>
  <si>
    <t>Močoměr bez teploměru 710363</t>
  </si>
  <si>
    <t>ZC052</t>
  </si>
  <si>
    <t>Tlouček drsný 24 x 115 mm JIZE213A/1</t>
  </si>
  <si>
    <t>50115050</t>
  </si>
  <si>
    <t>obvazový materiál (Z502)</t>
  </si>
  <si>
    <t>ZF749</t>
  </si>
  <si>
    <t>Fixace nosních katetrů nasofix niko střední S+M, bal. á 100 ks 49-625-S-M</t>
  </si>
  <si>
    <t>Fixace nosních katetrů nasofix niko střední S+M, bal. á 150 ks 49-625-S-M</t>
  </si>
  <si>
    <t>ZA454</t>
  </si>
  <si>
    <t>Kompresa AB 10 x 10 cm/1 ks sterilní NT savá (1230114011) 1327114011</t>
  </si>
  <si>
    <t>ZA459</t>
  </si>
  <si>
    <t>Kompresa AB 10 x 20 cm/1 ks sterilní NT savá (1230114021) 1327114021</t>
  </si>
  <si>
    <t>ZC846</t>
  </si>
  <si>
    <t>Kompresa AB 15 x 25 cm/1 ks sterilní NT savá (1230114031) 1327114031</t>
  </si>
  <si>
    <t>ZA563</t>
  </si>
  <si>
    <t>Kompresa AB 20 x 20 cm/1 ks sterilní NT savá (1230114041) 1327114041</t>
  </si>
  <si>
    <t>ZA561</t>
  </si>
  <si>
    <t>Kompresa AB 20 x 40 cm/1 ks sterilní NT savá (1230114051) 1327114051</t>
  </si>
  <si>
    <t>ZD668</t>
  </si>
  <si>
    <t>Kompresa gáza 10 x 10 cm/5 ks sterilní 1325019275</t>
  </si>
  <si>
    <t>ZA539</t>
  </si>
  <si>
    <t>Kompresa NT 10 x 10 cm nesterilní 06103</t>
  </si>
  <si>
    <t>ZC506</t>
  </si>
  <si>
    <t>Kompresa NT 10 x 10 cm/5 ks sterilní 1325020275</t>
  </si>
  <si>
    <t>Kompresa NT 10 x 10 cm/5 ks sterilní 1325020275 - výpadek do konce října</t>
  </si>
  <si>
    <t>ZA463</t>
  </si>
  <si>
    <t>Kompresa NT 10 x 20 cm/2 ks sterilní 26620</t>
  </si>
  <si>
    <t>ZC845</t>
  </si>
  <si>
    <t>Kompresa NT 10 x 20 cm/5 ks sterilní 26621</t>
  </si>
  <si>
    <t>ZA622</t>
  </si>
  <si>
    <t>Kompresa NT 5 x 5 cm nesterilní 06101</t>
  </si>
  <si>
    <t>ZA643</t>
  </si>
  <si>
    <t>Kompresa vliwasoft 10 x 20 nesterilní á 100 ks 12070</t>
  </si>
  <si>
    <t>ZK087</t>
  </si>
  <si>
    <t>Krém cavilon ochranný bariérový á 28 g bal. á 12 ks 3391E</t>
  </si>
  <si>
    <t>ZA478</t>
  </si>
  <si>
    <t>Krytí actisorb plus 10,5 x 10,5 cm bal. á 10 ks s aktivním uhlím SYSMAP105EE</t>
  </si>
  <si>
    <t>ZA564</t>
  </si>
  <si>
    <t>Krytí curagard SP fixace kanyl pro dospělé tvar omega sterilní 6,5 x 7,5 cm bal. á 100 ks (náhrada za Tegaderm i. v.) 30117</t>
  </si>
  <si>
    <t>ZD819</t>
  </si>
  <si>
    <t>Krytí debrisoft 10 x 10 cm bal. á 5 ks 31222</t>
  </si>
  <si>
    <t>ZH403</t>
  </si>
  <si>
    <t>Krytí excilon 5 x 5 cm NT i.v. s nástřihem do kříže antiseptický bal. á 70 ks 7089</t>
  </si>
  <si>
    <t>ZQ752</t>
  </si>
  <si>
    <t>Krytí filmové transparentní  Akutol spray 60 ml</t>
  </si>
  <si>
    <t>ZA664</t>
  </si>
  <si>
    <t>Krytí gelové hydrokoloidní Flamigel 250 ml FLAM250</t>
  </si>
  <si>
    <t>ZN200</t>
  </si>
  <si>
    <t>Krytí hemostatické traumacel new dent kostky bal. á 50 ks 10115</t>
  </si>
  <si>
    <t>ZA550</t>
  </si>
  <si>
    <t>Krytí hydrogelové nu-gel 25 g bal. á 6 ks MNG425</t>
  </si>
  <si>
    <t>ZA544</t>
  </si>
  <si>
    <t>Krytí inadine nepřilnavé 5,0 x 5,0 cm 1/10 SYS01481EE</t>
  </si>
  <si>
    <t>ZA547</t>
  </si>
  <si>
    <t>Krytí inadine nepřilnavé 9,5 x 9,5 cm 1/10 SYS01512EE</t>
  </si>
  <si>
    <t>ZO429</t>
  </si>
  <si>
    <t>Krytí Lavanid 1 roztok 0,02% Polyhexanid 1000 ml bal. á 6 ks 014127</t>
  </si>
  <si>
    <t>ZO430</t>
  </si>
  <si>
    <t>Krytí Lavanid 2 roztok 0,04% Polyhexanid 1000 ml bal. á 6 ks 014227</t>
  </si>
  <si>
    <t>ZO431</t>
  </si>
  <si>
    <t>Krytí Lavanid gel na rány stříkačka á 10 g bal. á 12 ks 015271</t>
  </si>
  <si>
    <t>ZF042</t>
  </si>
  <si>
    <t>Krytí mastný tyl jelonet 10 x 10 cm á 10 ks 7404</t>
  </si>
  <si>
    <t>ZL663</t>
  </si>
  <si>
    <t>Krytí mastný tyl pharmatull 10 x 10 cm bal. á 50 ks P-Tull1010</t>
  </si>
  <si>
    <t>ZL664</t>
  </si>
  <si>
    <t>Krytí mastný tyl pharmatull 10 x 20 cm bal. á 10 ks P-Tull1020</t>
  </si>
  <si>
    <t>ZB571</t>
  </si>
  <si>
    <t>Krytí melgisorb Ag alginátové 5 x 5 cm bal. á 10 ks 256055</t>
  </si>
  <si>
    <t>ZE748</t>
  </si>
  <si>
    <t>Krytí melgisorb Ag alginátové absorpční 10 x 10 cm bal. á 10 ks 256105</t>
  </si>
  <si>
    <t>ZN201</t>
  </si>
  <si>
    <t>Krytí mepilex border heel 18,5 x 24,5 cm bal. á 5 ks 283250</t>
  </si>
  <si>
    <t>ZD633</t>
  </si>
  <si>
    <t>Krytí mepilex border sacrum 18 x 18 cm bal. á 5 ks 282000-01</t>
  </si>
  <si>
    <t>ZD634</t>
  </si>
  <si>
    <t>Krytí mepilex border sacrum 23 x 23 cm bal. á 5 ks 282400-01</t>
  </si>
  <si>
    <t>ZA537</t>
  </si>
  <si>
    <t>Krytí mepilex heel 13 x 20 cm bal. á 5 ks 288100-01</t>
  </si>
  <si>
    <t>ZC550</t>
  </si>
  <si>
    <t>Krytí mepilex silikonový Ag 10 x 10 cm bal. á 5 ks 287110-00</t>
  </si>
  <si>
    <t>ZO458</t>
  </si>
  <si>
    <t>Krytí mepilex transfer Ag 10 x 12,5 cm bal. á 5 ks 394100-00</t>
  </si>
  <si>
    <t>ZC702</t>
  </si>
  <si>
    <t>Krytí tegaderm   6,0 cm x  7,0 cm bal. á 100 ks 1624W</t>
  </si>
  <si>
    <t>ZA324</t>
  </si>
  <si>
    <t>Krytí tegaderm 10,0 cm x 12,0 cm bal. á 50 ks 1626W</t>
  </si>
  <si>
    <t>ZA655</t>
  </si>
  <si>
    <t>Krytí tegaderm 11,5 cm x 12,0 cm bal. á 12 ks 9543HP</t>
  </si>
  <si>
    <t>Krytí tegaderm 6,0 cm x 7,0 cm bal. á 100 ks 1624W</t>
  </si>
  <si>
    <t>ZL669</t>
  </si>
  <si>
    <t>Krytí tegaderm diamond 10,0 cm x 12,0 cm bal. á 50 ks 1686</t>
  </si>
  <si>
    <t>ZA543</t>
  </si>
  <si>
    <t>Krytí tielle pěnové   7 x  9 cm bal. á 10 ks SYS MTL100 EE</t>
  </si>
  <si>
    <t>ZA479</t>
  </si>
  <si>
    <t>Krytí tielle pěnové 11 x 11 cm bal. á 10 ks SYS MTL101 EE</t>
  </si>
  <si>
    <t>ZA553</t>
  </si>
  <si>
    <t>Krytí tielle pěnové 18 x 18 cm bal. á 5 ks SYS MTL103 EE</t>
  </si>
  <si>
    <t>ZQ161</t>
  </si>
  <si>
    <t>Krytí waysite transparentní voděodolné sterilní 6 x 7 cm  bal. á 10 ks 811210</t>
  </si>
  <si>
    <t>Krytí waysite transparentní voděodolné sterilní 6 x 7 cm  bal. á 10 ks 811210 - firma již nedodává</t>
  </si>
  <si>
    <t>ZQ156</t>
  </si>
  <si>
    <t>Krytí waysite transparentní voděodolné sterilní 9 x 15 cm bal. á 10 ks (náhrada za tegaderm) 811212</t>
  </si>
  <si>
    <t>Krytí waysite transparentní voděodolné sterilní, 6 x 7 cm  bal. á 10 ks 811210</t>
  </si>
  <si>
    <t>ZA562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</si>
  <si>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</si>
  <si>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</si>
  <si>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</si>
  <si>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</si>
  <si>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</si>
  <si>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</si>
  <si>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</si>
  <si>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</si>
  <si>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</si>
  <si>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ZA418</t>
  </si>
  <si>
    <t>Náplast metaline pod TS 8 x 9 cm 23094</t>
  </si>
  <si>
    <t>ZH012</t>
  </si>
  <si>
    <t>Náplast micropore 2,50 cm x 9,10 m 840W-1</t>
  </si>
  <si>
    <t>ZA419</t>
  </si>
  <si>
    <t>Náplast octacare cotton tape- betaplast 10 cm x 5 m (510W) 10510</t>
  </si>
  <si>
    <t>ZC885</t>
  </si>
  <si>
    <t>Náplast omnifix E 10 cm x 10 m 900650</t>
  </si>
  <si>
    <t>ZD111</t>
  </si>
  <si>
    <t>Náplast omnifix E 5 cm x 10 m 9006493</t>
  </si>
  <si>
    <t>ZA451</t>
  </si>
  <si>
    <t>Náplast omniplast 5,0 cm x 9,2 m 9004540 (900429)</t>
  </si>
  <si>
    <t>ZQ117</t>
  </si>
  <si>
    <t>Náplast transparentní Airoplast cívka 2,5 cm x 9,14 m (náhrada za transpore) P-AIRO2591</t>
  </si>
  <si>
    <t>ZA318</t>
  </si>
  <si>
    <t>Náplast transpore 1,25 cm x 9,14 m 1527-0</t>
  </si>
  <si>
    <t>ZB084</t>
  </si>
  <si>
    <t>Náplast transpore 2,50 cm x 9,14 m 1527-1 - nahrazeno ZQ117</t>
  </si>
  <si>
    <t>ZF352</t>
  </si>
  <si>
    <t>Náplast transpore bílá 2,50 cm x 9,14 m bal. á 12 ks 1534-1</t>
  </si>
  <si>
    <t>ZA542</t>
  </si>
  <si>
    <t>Náplast wet pruf voduvzd. 1,25 cm x 9,14 m bal. á 24 ks K00-3063C</t>
  </si>
  <si>
    <t>ZN475</t>
  </si>
  <si>
    <t>Obinadlo elastické universal   8 cm x 5 m 1323100312</t>
  </si>
  <si>
    <t>ZN478</t>
  </si>
  <si>
    <t>Obinadlo elastické universal 10 cm x 5 m 1323100313</t>
  </si>
  <si>
    <t>ZN477</t>
  </si>
  <si>
    <t>Obinadlo elastické universal 12 cm x 5 m 1323100314</t>
  </si>
  <si>
    <t>ZN476</t>
  </si>
  <si>
    <t>Obinadlo elastické universal 15 cm x 5 m 1323100315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</si>
  <si>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</si>
  <si>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</si>
  <si>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</si>
  <si>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</si>
  <si>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</si>
  <si>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</si>
  <si>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ZA340</t>
  </si>
  <si>
    <t>Obinadlo hydrofilní 12 cm x   5 m 13008</t>
  </si>
  <si>
    <t>ZN321</t>
  </si>
  <si>
    <t>Obvaz elastický síťový CareFix Head velikost L bal. á 10 ks 0170 L</t>
  </si>
  <si>
    <t>ZN322</t>
  </si>
  <si>
    <t>Obvaz elastický síťový CareFix Head velikost XL bal. á 10 ks 0170 XL</t>
  </si>
  <si>
    <t>ZN091</t>
  </si>
  <si>
    <t>Obvaz elastický síťový CareFix Tube k zajištění a ochraně fixace IV kanyl vel. M bal. á 15 ks 0151 M</t>
  </si>
  <si>
    <t>ZN090</t>
  </si>
  <si>
    <t>Obvaz elastický síťový CareFix Tube k zajištění a ochraně fixace IV kanyl vel. S bal. á 15 ks 0151 S</t>
  </si>
  <si>
    <t>ZM249</t>
  </si>
  <si>
    <t>Obvaz tubulární trikotový 15 cm x 25 m 14824</t>
  </si>
  <si>
    <t>ZA066</t>
  </si>
  <si>
    <t>Pás břišní - Verba č. 4 - 95 - 105 cm 932534</t>
  </si>
  <si>
    <t>ZA065</t>
  </si>
  <si>
    <t>Pás břišní - Verba č. 5 - 105 - 115 cm 932535</t>
  </si>
  <si>
    <t>ZL975</t>
  </si>
  <si>
    <t>Pěna renasys-F malý set (S) pro podtlakovou terapii 66800794</t>
  </si>
  <si>
    <t>ZL973</t>
  </si>
  <si>
    <t>Pěna renasys-F střední set (M) pro podtlakovou terapii 66800795</t>
  </si>
  <si>
    <t>ZL974</t>
  </si>
  <si>
    <t>Pěna renasys-F velký set (L) pro podtlakovou terapii 66800796</t>
  </si>
  <si>
    <t>ZA576</t>
  </si>
  <si>
    <t>Set sterilní pro močovou katetrizaci Mediset bal. á 10 ks 4552710</t>
  </si>
  <si>
    <t>ZA441</t>
  </si>
  <si>
    <t>Steh náplasťový Steri-strip 6 x 38 mm bal. á 50 ks R1542</t>
  </si>
  <si>
    <t>ZA615</t>
  </si>
  <si>
    <t>Tampón cavilon 1 ml bal. á 25 ks 3343E</t>
  </si>
  <si>
    <t>ZK561</t>
  </si>
  <si>
    <t>Tampon nesterilní NT 20 x 20 pr. 35 mm 12 x 250 ks 1320104211</t>
  </si>
  <si>
    <t>ZA444</t>
  </si>
  <si>
    <t>Tampon nesterilní stáčený 20 x 19 cm bez RTG nití bal. á 100 ks 1320300404</t>
  </si>
  <si>
    <t>ZA502</t>
  </si>
  <si>
    <t>Tampon nesterilní stáčený 30 x 60 cm 1320300406</t>
  </si>
  <si>
    <t>ZA593</t>
  </si>
  <si>
    <t>Tampon sterilní stáčený 20 x 20 cm / 5 ks 28003+</t>
  </si>
  <si>
    <t>ZA617</t>
  </si>
  <si>
    <t>Tampon TC-OC k ošetření dutiny ústní á 250 ks 12240</t>
  </si>
  <si>
    <t>ZA466</t>
  </si>
  <si>
    <t>Tyčinka vatová sterilní 14 cm bal. á 200 ks 9679501</t>
  </si>
  <si>
    <t>ZM769</t>
  </si>
  <si>
    <t>Ubrousky cavilon pro péči při inkontinenci 8 ubrousků 20 x 30 cm bal. á 96 ks 9274 DH888843488</t>
  </si>
  <si>
    <t>ZC100</t>
  </si>
  <si>
    <t>Vata buničitá dělená 2 role / 500 ks 40 x 50 mm 1230200310</t>
  </si>
  <si>
    <t>ZQ569</t>
  </si>
  <si>
    <t>Vata buničitá dělená cellin 2 role / 500 ks 40 x 50 mm 1230206310</t>
  </si>
  <si>
    <t>ZA446</t>
  </si>
  <si>
    <t>Vata buničitá přířezy 20 x 30 cm 1230200129</t>
  </si>
  <si>
    <t>ZA067</t>
  </si>
  <si>
    <t>Verba č. 3 - břišní pás 85 - 95 cm 932533</t>
  </si>
  <si>
    <t>Verba č. 4 - břišní pás 95 - 105 cm 932534</t>
  </si>
  <si>
    <t>Verba č. 5 - břišní pás 105 - 115 cm 932535</t>
  </si>
  <si>
    <t>ZA530</t>
  </si>
  <si>
    <t>Vložky hygienické samu 7162212</t>
  </si>
  <si>
    <t>50115060</t>
  </si>
  <si>
    <t>ZPr - ostatní (Z503)</t>
  </si>
  <si>
    <t>ZP987</t>
  </si>
  <si>
    <t>Adaptér k setu pro enterální výživu ENFIT 777401 bal. á 30 ks 777444</t>
  </si>
  <si>
    <t>ZB621</t>
  </si>
  <si>
    <t>Adaptér respiflo MN 1072</t>
  </si>
  <si>
    <t>ZD650</t>
  </si>
  <si>
    <t>Aquapak - sterilní voda 340 ml s adaptérem bal. á 20 ks 400340</t>
  </si>
  <si>
    <t>ZN618</t>
  </si>
  <si>
    <t>Brýle kyslíkové pro dospělé bal. á 100 ks A0100</t>
  </si>
  <si>
    <t>ZK975</t>
  </si>
  <si>
    <t>Cévka odsávací CH10 s přerušovačem sání, délka 50 cm, P01169a</t>
  </si>
  <si>
    <t>ZK976</t>
  </si>
  <si>
    <t>Cévka odsávací CH12 s přerušovačem sání P01171a</t>
  </si>
  <si>
    <t>Cévka odsávací CH12 s přerušovačem sání, délka 50 cm, P01171a</t>
  </si>
  <si>
    <t>ZK977</t>
  </si>
  <si>
    <t>Cévka odsávací CH14 s přerušovačem sání P01173a</t>
  </si>
  <si>
    <t>Cévka odsávací CH14 s přerušovačem sání, délka 50 cm, P01173a</t>
  </si>
  <si>
    <t>ZK978</t>
  </si>
  <si>
    <t>Cévka odsávací CH16 s přerušovačem sání, délka 50 cm, P01175a</t>
  </si>
  <si>
    <t>ZK979</t>
  </si>
  <si>
    <t>Cévka odsávací CH18 s přerušovačem sání P01177a</t>
  </si>
  <si>
    <t>Cévka odsávací CH18 s přerušovačem sání, délka 50 cm, P01177a</t>
  </si>
  <si>
    <t>ZC751</t>
  </si>
  <si>
    <t>Čepelka skalpelová 11 BB511</t>
  </si>
  <si>
    <t>ZC756</t>
  </si>
  <si>
    <t>Čepelka skalpelová 23 BB523</t>
  </si>
  <si>
    <t>ZB770</t>
  </si>
  <si>
    <t>Držák jehly excentrický Holdex 450263</t>
  </si>
  <si>
    <t>ZB771</t>
  </si>
  <si>
    <t>Držák jehly základní 450201</t>
  </si>
  <si>
    <t>ZB424</t>
  </si>
  <si>
    <t>Elektroda EKG H34SG 31.1946.21</t>
  </si>
  <si>
    <t>ZQ490</t>
  </si>
  <si>
    <t>Elektroda EKG pěnová pr. 48 mm pro dospělé (ES GS48) H-108003</t>
  </si>
  <si>
    <t>Elektroda EKG pěnová pr. 48 mm pro dospělé H-108003</t>
  </si>
  <si>
    <t>ZC648</t>
  </si>
  <si>
    <t>Elektroda EKG pěnová pr. 55 mm pro dospělé H-108002</t>
  </si>
  <si>
    <t>Elektroda EKG pěnová pr. 55 mm pro dospělé H-108002 - nahrazena ZQ490</t>
  </si>
  <si>
    <t>ZB844</t>
  </si>
  <si>
    <t>Esmarch - pryžové obinadlo 60 x 1250 KVS 06125</t>
  </si>
  <si>
    <t>ZI879</t>
  </si>
  <si>
    <t>Extraktor kožních svorek Leukosan bal. á 20 ks 72615</t>
  </si>
  <si>
    <t>ZA737</t>
  </si>
  <si>
    <t>Filtr mini spike modrý 4550234</t>
  </si>
  <si>
    <t>ZA738</t>
  </si>
  <si>
    <t>Filtr mini spike zelený 4550242</t>
  </si>
  <si>
    <t>ZN646</t>
  </si>
  <si>
    <t>Fonendoskop oboustranný různé barvy 710045-s</t>
  </si>
  <si>
    <t>ZL951</t>
  </si>
  <si>
    <t>Hadička prodlužovací PVC 150 cm pro světlocitlivé léky NO DOP bal. á 20  ks V686423-ND</t>
  </si>
  <si>
    <t>ZN298</t>
  </si>
  <si>
    <t>Hadička spojovací Gamaplus HS 1,8 x 1800 LL NO DOP 606304-ND</t>
  </si>
  <si>
    <t>ZN297</t>
  </si>
  <si>
    <t>Hadička spojovací Gamaplus HS 1,8 x 450 LL NO DOP 606301-ND</t>
  </si>
  <si>
    <t>ZQ249</t>
  </si>
  <si>
    <t>Hadička spojovací HS 1,8 x 1800 mm LL DEPH free 2200 180 ND</t>
  </si>
  <si>
    <t>ZQ248</t>
  </si>
  <si>
    <t>Hadička spojovací HS 1,8 x 450 mm LL DEPH free 2200 045 ND</t>
  </si>
  <si>
    <t>ZN044</t>
  </si>
  <si>
    <t>Hadička spojovací PE červená 2,0 x 2000 mm LL bal. á 200 ks 12003200E - výpadek</t>
  </si>
  <si>
    <t>ZN681</t>
  </si>
  <si>
    <t>Hadička spojovací PE červená 2,0 x 500 mm LL bal. á 200 ks 12001050E</t>
  </si>
  <si>
    <t>ZN045</t>
  </si>
  <si>
    <t>Hadička spojovací PE zelená 2,0 x 2000 mm LL bal. á 200 ks 12003200E - firma již nedodává</t>
  </si>
  <si>
    <t>ZN682</t>
  </si>
  <si>
    <t>Hadička spojovací PE zelená 2,0 x 500 mm LL bal. á 200 ks 12002050E</t>
  </si>
  <si>
    <t>ZB908</t>
  </si>
  <si>
    <t>Hadička spojovací stíněná 1 mm/150 cm pro světlocitlivé léky bal. á 20 ks 1100 1150 E</t>
  </si>
  <si>
    <t>ZA978</t>
  </si>
  <si>
    <t>Houbička odsávací s reg. vakua 2201</t>
  </si>
  <si>
    <t>ZC738</t>
  </si>
  <si>
    <t>Husí krk Expandi-flex bal. á 25 ks 22362</t>
  </si>
  <si>
    <t>ZB386</t>
  </si>
  <si>
    <t>Kanyla ET 7,5 s manžetou 9475E</t>
  </si>
  <si>
    <t>ZB387</t>
  </si>
  <si>
    <t>Kanyla ET 8,0 s manžetou 9480E</t>
  </si>
  <si>
    <t>ZB388</t>
  </si>
  <si>
    <t>Kanyla ET 8,5 s manžetou 9485E</t>
  </si>
  <si>
    <t>ZH335</t>
  </si>
  <si>
    <t>Kanyla TS 7,0 s manžetou bal. á 2 ks 100/523/070</t>
  </si>
  <si>
    <t>ZB105</t>
  </si>
  <si>
    <t>Kanyla TS 7,5 s manžetou 100/800/075</t>
  </si>
  <si>
    <t>ZA725</t>
  </si>
  <si>
    <t>Kanyla TS 8,0 s manžetou bal. á 10 ks 100/860/080</t>
  </si>
  <si>
    <t>ZB314</t>
  </si>
  <si>
    <t>Kanyla TS 8,0 s manžetou bal. á 2 ks 100/523/080</t>
  </si>
  <si>
    <t>ZB056</t>
  </si>
  <si>
    <t>Kanyla TS 8,5 s manžetou bal. á 10 ks 100/800/085</t>
  </si>
  <si>
    <t>ZC982</t>
  </si>
  <si>
    <t>Kanyla TS 8,5 s manžetou bal. á 10 ks 100/860/085</t>
  </si>
  <si>
    <t>ZD071</t>
  </si>
  <si>
    <t>Kanyla TS 9,0 s manžetou bal. á 10 ks 100/860/090 suctionaid</t>
  </si>
  <si>
    <t>ZB263</t>
  </si>
  <si>
    <t>Kanyla TS 9,0 s manžetou bal. á 2 ks 100/523/090</t>
  </si>
  <si>
    <t>ZD980</t>
  </si>
  <si>
    <t>Kanyla vasofix 18G zelená safety 4269136S-01</t>
  </si>
  <si>
    <t>ZD809</t>
  </si>
  <si>
    <t>Kanyla vasofix 20G růžová safety 4269110S-01</t>
  </si>
  <si>
    <t>ZD808</t>
  </si>
  <si>
    <t>Kanyla vasofix 22G modrá safety 4269098S-01</t>
  </si>
  <si>
    <t>ZC490</t>
  </si>
  <si>
    <t>Kartáček zubní s odsáváním P2220</t>
  </si>
  <si>
    <t>ZQ021</t>
  </si>
  <si>
    <t>Kartáček zubní s proplachem silikonový bal. á 20 ks 51410100</t>
  </si>
  <si>
    <t>ZJ310</t>
  </si>
  <si>
    <t>Katetr močový foley CH12 180605-000120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</si>
  <si>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</si>
  <si>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</si>
  <si>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</si>
  <si>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</si>
  <si>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ZK884</t>
  </si>
  <si>
    <t>Kohout trojcestný discofix modrý 4095111</t>
  </si>
  <si>
    <t>ZB477</t>
  </si>
  <si>
    <t>Kohout trojcestný lopez valve AA-011-M9000 S</t>
  </si>
  <si>
    <t>Kohout trojcestný lopez valve pro NG sondu nesterilní AA-011-M9000</t>
  </si>
  <si>
    <t>ZK735</t>
  </si>
  <si>
    <t>Konektor bezjehlový caresite bal. á 200 ks dohodnutá cena 10,- Kč bez DPH 415122</t>
  </si>
  <si>
    <t>ZO372</t>
  </si>
  <si>
    <t>Konektor bezjehlový OptiSyte JIM:JSM4001</t>
  </si>
  <si>
    <t>ZO087</t>
  </si>
  <si>
    <t>Konektor flocare na aplikační set s konektorem Luer NOVÝ 30 ks 589735</t>
  </si>
  <si>
    <t>ZP163</t>
  </si>
  <si>
    <t>Konektor flocare stupňový pro sondu typu ENLock/sondu s kónusovým konektorem bal. á 30 ks 589828</t>
  </si>
  <si>
    <t>ZM513</t>
  </si>
  <si>
    <t>Konektor ventil jednocestný back check valve 8502802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</si>
  <si>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</si>
  <si>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</si>
  <si>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</si>
  <si>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</si>
  <si>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ZD190</t>
  </si>
  <si>
    <t>Kyveta CO2 dospělá á 10 ks MP01062</t>
  </si>
  <si>
    <t>Kyveta CO2 pro dospělé á 10 ks MP01062</t>
  </si>
  <si>
    <t>ZB054</t>
  </si>
  <si>
    <t>Láhev 2,00 l šroubový uzávěr 000-030-000 (111-888-200)</t>
  </si>
  <si>
    <t>ZB103</t>
  </si>
  <si>
    <t>Láhev k odsávačce flovac 2l hadice 1,8 m 000-036-021</t>
  </si>
  <si>
    <t>ZC059</t>
  </si>
  <si>
    <t>Láhev redon drenofast 400 ml-kompletní bal. á 40 ks 28400</t>
  </si>
  <si>
    <t>ZB361</t>
  </si>
  <si>
    <t>Láhev respiflo 1000 ml 21000</t>
  </si>
  <si>
    <t>ZA728</t>
  </si>
  <si>
    <t>Lopatka ústní dřevěná lékařská nesterilní bal. á 100 ks 1320100655</t>
  </si>
  <si>
    <t>ZH300</t>
  </si>
  <si>
    <t>Lžíce laryngoskopická 4 bal. á 10 ks 670150-100040</t>
  </si>
  <si>
    <t>ZC166</t>
  </si>
  <si>
    <t>Manžeta přetlaková   500 ml 100 ZIT-500 (100 051-018-803)</t>
  </si>
  <si>
    <t>ZC654</t>
  </si>
  <si>
    <t>Manžeta přetlaková 500 ml s manometrem KVS PM 05M</t>
  </si>
  <si>
    <t>ZE195</t>
  </si>
  <si>
    <t>Manžeta TK k monitoru Mindray a další jednohadičková s vložkou 25 - 35 cm dospělá MEC 1200 NIBPHPA</t>
  </si>
  <si>
    <t>ZB038</t>
  </si>
  <si>
    <t>Medisize hydrovent S filt./HM</t>
  </si>
  <si>
    <t>Medisize hydrovent S filt./HM , bal.á 50 ks, 300-200-000</t>
  </si>
  <si>
    <t>ZI528</t>
  </si>
  <si>
    <t>Membrána k fonendoskopu velká KVS 14-15</t>
  </si>
  <si>
    <t>ZA713</t>
  </si>
  <si>
    <t>Měřič žilního tlaku 01 646992</t>
  </si>
  <si>
    <t>ZB948</t>
  </si>
  <si>
    <t>Mikronebulizér MicroMist bal. á 50 ks 41891</t>
  </si>
  <si>
    <t>ZB647</t>
  </si>
  <si>
    <t>Minitrach seldinger kit 100/461/000</t>
  </si>
  <si>
    <t>ZE159</t>
  </si>
  <si>
    <t>Nádoba na kontaminovaný odpad 2 l 15-0003</t>
  </si>
  <si>
    <t>ZF192</t>
  </si>
  <si>
    <t>Nádoba na kontaminovaný odpad 4 l 15-0004</t>
  </si>
  <si>
    <t>ZQ138</t>
  </si>
  <si>
    <t>Nůžky chirurgické rovné hrotnaté 150 mm tk AJ 025-15</t>
  </si>
  <si>
    <t>Nůžky chirurgické rovné hrotnaté 150 mm TK-AJ 025-15</t>
  </si>
  <si>
    <t>ZQ137</t>
  </si>
  <si>
    <t>Nůžky chirurgické rovné hrtonaté 130 mm tk AJ 025-13</t>
  </si>
  <si>
    <t>Nůžky chirurgické rovné hrtonaté 130 mm TK-AJ 025-13</t>
  </si>
  <si>
    <t>ZQ139</t>
  </si>
  <si>
    <t>Nůžky chirurgické zahnuté hrotnaté 150 mm TK-AJ 035-15</t>
  </si>
  <si>
    <t>ZN947</t>
  </si>
  <si>
    <t>Nůžky převazové lister 180 mm lomené PL827-106</t>
  </si>
  <si>
    <t>ZB439</t>
  </si>
  <si>
    <t>Odstraňovač náplastí Convacare á 100 ks 0011279 37443</t>
  </si>
  <si>
    <t>ZC948</t>
  </si>
  <si>
    <t>Páska bepa clip pro TS kanylu s háčky 31-43 cm á 12 ks NKS:200443</t>
  </si>
  <si>
    <t>ZD040</t>
  </si>
  <si>
    <t>Páska bepa clip vario pro TS kanylu 25/V á 12 ks NKS:200502</t>
  </si>
  <si>
    <t>ZF512</t>
  </si>
  <si>
    <t>Páska bepa clip vario pro TS kanylu 30/V á 6 ks NKS:200602</t>
  </si>
  <si>
    <t>ZB648</t>
  </si>
  <si>
    <t>Páska fixační Hand-Fix 30 bal. á 2 ks NKS:60-65</t>
  </si>
  <si>
    <t>ZB507</t>
  </si>
  <si>
    <t>Páska fixační SOFT FIX, set-4druhy, 9 rolí NKS:30-05</t>
  </si>
  <si>
    <t>ZD880</t>
  </si>
  <si>
    <t>Pasta vyplňovací stomahesive adhesivní 30 g 0002708 149730</t>
  </si>
  <si>
    <t>ZQ141</t>
  </si>
  <si>
    <t>Peán svorka na cévy rovná 160 mm tk BC 060-16</t>
  </si>
  <si>
    <t>Peán svorka na cévy rovná 160 mm TK-BC 060-16</t>
  </si>
  <si>
    <t>ZQ143</t>
  </si>
  <si>
    <t>Pinzeta anatomická rovná úzká 145 mm TK-BA 100-14</t>
  </si>
  <si>
    <t>ZB963</t>
  </si>
  <si>
    <t>Pinzeta anatomická úzká 145 mm B397114920019</t>
  </si>
  <si>
    <t>ZO010</t>
  </si>
  <si>
    <t>Pinzeta chirurgická rovná standard 1 x 2 zuby 140 mm 1141113014</t>
  </si>
  <si>
    <t>Pinzeta chirurgická Standard rovná 1 x 2 zuby 140 mm 1141113014</t>
  </si>
  <si>
    <t>ZK893</t>
  </si>
  <si>
    <t>Pinzeta chirurgická úzká 1 x 2 zuby 130 mm B397114920026</t>
  </si>
  <si>
    <t>ZP509</t>
  </si>
  <si>
    <t>Pinzeta UH sterilní I0600</t>
  </si>
  <si>
    <t>ZN408</t>
  </si>
  <si>
    <t>Podložka natura flexibilní 100 mm bal. á 5 ks 401906</t>
  </si>
  <si>
    <t>ZN426</t>
  </si>
  <si>
    <t>Podložka natura flexibilní 45 mm bal. á 5 ks 125902</t>
  </si>
  <si>
    <t>ZI347</t>
  </si>
  <si>
    <t>Podložka natura flexibilní 57 mm bal. á 5 ks 0086766 125903</t>
  </si>
  <si>
    <t>ZI346</t>
  </si>
  <si>
    <t>Podložka natura flexibilní 70 mm bal. á 5 ks 0086767 125904</t>
  </si>
  <si>
    <t>ZJ672</t>
  </si>
  <si>
    <t>Pohár na moč 250 ml UH GAMA204809</t>
  </si>
  <si>
    <t>ZL688</t>
  </si>
  <si>
    <t>Proužky Accu-Check Inform IIStrip 50 EU1 á 50 ks 05942861041</t>
  </si>
  <si>
    <t>ZL953</t>
  </si>
  <si>
    <t>Rampa 3 cestná - 3 x konektor s BV NO PVC V696423</t>
  </si>
  <si>
    <t>ZA691</t>
  </si>
  <si>
    <t>Rampa 3 kohouty discofix 16600C/4085434/</t>
  </si>
  <si>
    <t>ZL954</t>
  </si>
  <si>
    <t>Rampa 5 cestná - 5 x konektor s BV NO PVC V696425</t>
  </si>
  <si>
    <t>ZB301</t>
  </si>
  <si>
    <t>Rampa 5 kohoutů bez PVC lipidorezistentní bal. á 20 ks RP 5000 M</t>
  </si>
  <si>
    <t>ZK435</t>
  </si>
  <si>
    <t>Rampa 5 kohoutů discofix bal. á 40 ks 16608C (4085450)</t>
  </si>
  <si>
    <t>ZP835</t>
  </si>
  <si>
    <t>Regulátor průtoku infuze Flow Regulator 5 až 250 ml/hod včetně spojovací hadičky 55 cm bal á 50 ks 02-018-01</t>
  </si>
  <si>
    <t>ZA883</t>
  </si>
  <si>
    <t>Rourka rektální CH18 délka 40 cm 19-18.100</t>
  </si>
  <si>
    <t>ZA831</t>
  </si>
  <si>
    <t>Rourka rektální CH20 délka 40 cm 19-20.100</t>
  </si>
  <si>
    <t>ZG893</t>
  </si>
  <si>
    <t>Rouška prošívaná na popáleniny 40 x 60 cm karton á 30 ks 28510</t>
  </si>
  <si>
    <t>ZL689</t>
  </si>
  <si>
    <t>Roztok Accu-Check Performa Int´l Controls 1+2 level 04861736</t>
  </si>
  <si>
    <t>ZA364</t>
  </si>
  <si>
    <t>Sáček kolostomický draina S mini 75 mm á 30 ks H08560U</t>
  </si>
  <si>
    <t>ZA687</t>
  </si>
  <si>
    <t>Sáček močový curity s hod. diurézou 200 ml hadička 150 cm 6502</t>
  </si>
  <si>
    <t>ZA688</t>
  </si>
  <si>
    <t>Sáček močový curity s hod. diurézou 400 ml hadička 150 cm 8150</t>
  </si>
  <si>
    <t>ZQ252</t>
  </si>
  <si>
    <t>Sáček močový s hod. diurézou urine meter V2 bal. á 20 ks S-1227</t>
  </si>
  <si>
    <t>ZB249</t>
  </si>
  <si>
    <t>Sáček močový s křížovou výpustí 2000 ml s hadičkou 90 cm ZAR-TNU201601</t>
  </si>
  <si>
    <t>Sáček močový s křížovou výpustí 2000 ml ZAR-TNU201601</t>
  </si>
  <si>
    <t>ZI344</t>
  </si>
  <si>
    <t>Sáček výpustný + invisiclose natura 70 mm béžový standard bal. á 10 ks 0082655 416423</t>
  </si>
  <si>
    <t>ZJ194</t>
  </si>
  <si>
    <t>Sáček výpustný natura 57 mm průhledný urostomický bal. á 10 ks 401536</t>
  </si>
  <si>
    <t>ZI345</t>
  </si>
  <si>
    <t>Sáček výpustný natura 70 mm průhledný urostomický bal. á 10 ks 401537</t>
  </si>
  <si>
    <t>ZI789</t>
  </si>
  <si>
    <t>Sáček výpustný natura urostomický průhledný standard 45 mm á 10 ks 401535</t>
  </si>
  <si>
    <t>ZC842</t>
  </si>
  <si>
    <t>Sáček výpustný+ invisiclose natura 100 mm béžový standard bal. á 10 ks 0082656 416472</t>
  </si>
  <si>
    <t>ZE884</t>
  </si>
  <si>
    <t>Sáček výpustný+ invisiclose natura 57 mm béžový standard bal. á 10 ks 0082654 416420</t>
  </si>
  <si>
    <t>ZB656</t>
  </si>
  <si>
    <t>Senzor flotrac set 152 cm MHD6R</t>
  </si>
  <si>
    <t>Senzor k měření hemodynamiky flotrac s hadičkou 152 cm k monitoru VIGILEO MHD6R</t>
  </si>
  <si>
    <t>ZD702</t>
  </si>
  <si>
    <t>Set dialyzační Multifiltrate Ci-Ca CVVHD 1000 5039011</t>
  </si>
  <si>
    <t>ZA967</t>
  </si>
  <si>
    <t>Set flocare 800 Pack Transition nový pro enter. vaky ( APA 3386175) 586512</t>
  </si>
  <si>
    <t>ZN598</t>
  </si>
  <si>
    <t>Set odsávací jednorázový starset vak 2000 ml odsávací hadice 180 cm přerušovač sání bal. á 25 ks ZMF 160 203 PS</t>
  </si>
  <si>
    <t>ZD616</t>
  </si>
  <si>
    <t>Set sterilní pro močovou katetrizaci+ aqua permanent 4 Mediset 753882</t>
  </si>
  <si>
    <t>ZA685</t>
  </si>
  <si>
    <t>Sonda pro tamponádu jícnu č.7 699021PHX</t>
  </si>
  <si>
    <t>ZK179</t>
  </si>
  <si>
    <t>Sonda žaludeční CH12 1200 mm s RTG linkou bal. á 50 ks 412012</t>
  </si>
  <si>
    <t>ZJ695</t>
  </si>
  <si>
    <t>Sonda žaludeční CH14 1200 mm s RTG linkou bal. á 50 ks 412014</t>
  </si>
  <si>
    <t>ZJ696</t>
  </si>
  <si>
    <t>Sonda žaludeční CH18 1200 mm s RTG linkou bal. á 30 ks 412018</t>
  </si>
  <si>
    <t>ZD254</t>
  </si>
  <si>
    <t>Souprava flexi seal FMS pro fekální inkont. (možno objednávat na kusy) 418000</t>
  </si>
  <si>
    <t>ZE146</t>
  </si>
  <si>
    <t>Souprava nebulizační uzavřená In-Line-Neb Tee Kit  bal. á 50 ks 41745</t>
  </si>
  <si>
    <t>ZB543</t>
  </si>
  <si>
    <t>Souprava odběrová tracheální na odběr sekretu G05206</t>
  </si>
  <si>
    <t>Souprava pro rektální inkontinenci flexi seal FMS (možno objednávat na kusy) 418000</t>
  </si>
  <si>
    <t>ZB303</t>
  </si>
  <si>
    <t>Spojka asymetrická 4 x 7 mm 60.21.00 (120 420)</t>
  </si>
  <si>
    <t>ZA860</t>
  </si>
  <si>
    <t>Spojka dvojitá otočná čistá á 20 ks 23412</t>
  </si>
  <si>
    <t>ZM600</t>
  </si>
  <si>
    <t>Spojka flovac žlutá, bal.á 20 ks, 000-036-102</t>
  </si>
  <si>
    <t>ZD882</t>
  </si>
  <si>
    <t>Spojka symetrická 3-5 mm bal. á 30 ks 881.33</t>
  </si>
  <si>
    <t>ZB598</t>
  </si>
  <si>
    <t>Spojka symetrická přímá 7 x 7 mm 60.23.00 (120 430)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</si>
  <si>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</si>
  <si>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</si>
  <si>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</si>
  <si>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</si>
  <si>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</si>
  <si>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</si>
  <si>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</si>
  <si>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</si>
  <si>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</si>
  <si>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</si>
  <si>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</si>
  <si>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</si>
  <si>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</si>
  <si>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</si>
  <si>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ZA749</t>
  </si>
  <si>
    <t>Stříkačka injekční 3-dílná 50 ml LL Omnifix Solo 4617509F</t>
  </si>
  <si>
    <t>ZN854</t>
  </si>
  <si>
    <t>Stříkačka injekční arteriální 3 ml bez jehly s heparinem bal. á 100 ks safePICO Aspirator 956-622</t>
  </si>
  <si>
    <t>ZP675</t>
  </si>
  <si>
    <t>Stříkačka injekční pro enterální výživu 25 ml NUTRICAIR ENFIT excentrická bal.á 50 ks NCE20SE</t>
  </si>
  <si>
    <t>ZQ599</t>
  </si>
  <si>
    <t>Stříkačka injekční pro enterální výživu 50/60 ml NUTRICAIR ENFIT excentrická bal.á 50 ks NCE50SE</t>
  </si>
  <si>
    <t>ZQ967</t>
  </si>
  <si>
    <t>Stříkačka inzulínová 0,5 ml s jehlou 29 G sterilní bal. á 100 ks IS0529G</t>
  </si>
  <si>
    <t>ZQ040</t>
  </si>
  <si>
    <t>Stříkačka inzulínová 1 ml s jehlou 29 G bal. á 100 ks IS1029G</t>
  </si>
  <si>
    <t>ZB893</t>
  </si>
  <si>
    <t>Stříkačka inzulinová omnican 0,5 ml 100j s jehlou 30 G bal. á 100 ks 9151125S</t>
  </si>
  <si>
    <t>Stříkačka inzulinová omnican 0,5 ml 100j s jehlou 30 G bal. á 100 ks 9151125S - nahrazena ZQ967</t>
  </si>
  <si>
    <t>ZA964</t>
  </si>
  <si>
    <t>Stříkačka janett 3-dílná 60 ml sterilní vyplachovací 050ML3CZ-CEW (MRG564)</t>
  </si>
  <si>
    <t>ZD962</t>
  </si>
  <si>
    <t>Systém hrudní drenážní altitude bal. á 5 ks 8888571370</t>
  </si>
  <si>
    <t>ZD963</t>
  </si>
  <si>
    <t>Systém hrudní drenážní altitude bal. á 5 ks 8888571371</t>
  </si>
  <si>
    <t>ZA428</t>
  </si>
  <si>
    <t>Systém odsávací uzavřený 14F jednocestný 57 cm 72 hod. bal. á 20 ks Z110-14</t>
  </si>
  <si>
    <t>ZB255</t>
  </si>
  <si>
    <t>Systém odsávací uzavřený Ty-care CH14 pro TK bal. á 10 ks 444SP01314</t>
  </si>
  <si>
    <t>ZP300</t>
  </si>
  <si>
    <t>Škrtidlo se sponou pro dospělé bez latexu modré délka 400 mm 09820-B</t>
  </si>
  <si>
    <t>ZA119</t>
  </si>
  <si>
    <t>Trokar hrudní 18F 30 cm 636.18</t>
  </si>
  <si>
    <t>ZA799</t>
  </si>
  <si>
    <t>Trokar hrudní redax F20 s ostrým koncem bal. á 10 ks 11220</t>
  </si>
  <si>
    <t>ZB505</t>
  </si>
  <si>
    <t>Tubo-fix pro ET rourky á 8 ks komplet NKS:20-10</t>
  </si>
  <si>
    <t>ZB037</t>
  </si>
  <si>
    <t>Tulejka k průtokoměru 0-23-0094</t>
  </si>
  <si>
    <t>ZA729</t>
  </si>
  <si>
    <t>Tyčinka vatová sterilní 14 cm po 2 kusech velká 1 bal/200 ks 9679520</t>
  </si>
  <si>
    <t>Tyčinka vatová sterilní 14 cm po 2 kusech velká 1 bal/200 ks 9679520 - firma již nedodává, nahrazena ZQ486</t>
  </si>
  <si>
    <t>ZQ486</t>
  </si>
  <si>
    <t>Tyčinka vatová sterilní 14 cm po jednotlivě balená velká 1 bal/100 ks 4791911</t>
  </si>
  <si>
    <t>ZP357</t>
  </si>
  <si>
    <t>Tyčinka vatová zvlhčující glycerín + citron bal. á 75 ks FTL-LS-15</t>
  </si>
  <si>
    <t>ZA812</t>
  </si>
  <si>
    <t>Uzávěr do katetrů 4435001</t>
  </si>
  <si>
    <t>ZB632</t>
  </si>
  <si>
    <t>Ventil expirační jednorázový á 10 ks 8414776</t>
  </si>
  <si>
    <t>ZJ277</t>
  </si>
  <si>
    <t>Ventil jednorázový expirační V500 á 10 ks MP01060</t>
  </si>
  <si>
    <t>ZJ096</t>
  </si>
  <si>
    <t>Vzduchovod nosní 6,0 mm bal. á 10 ks 321060</t>
  </si>
  <si>
    <t>ZJ097</t>
  </si>
  <si>
    <t>Vzduchovod nosní 6,5 mm bal. á 10 ks 321065</t>
  </si>
  <si>
    <t>ZJ099</t>
  </si>
  <si>
    <t>Vzduchovod nosní 7,5 mm bal. á 10 ks 321075</t>
  </si>
  <si>
    <t>ZJ110</t>
  </si>
  <si>
    <t>Vzduchovod ústní guedell 70 mm bal. á 50 ks 311070</t>
  </si>
  <si>
    <t>ZJ111</t>
  </si>
  <si>
    <t>Vzduchovod ústní guedell 80 mm bal. á 50 ks 311080</t>
  </si>
  <si>
    <t>ZK799</t>
  </si>
  <si>
    <t>Zátka combi červená 4495101</t>
  </si>
  <si>
    <t>ZK798</t>
  </si>
  <si>
    <t>Zátka combi modrá 4495152</t>
  </si>
  <si>
    <t>ZA872</t>
  </si>
  <si>
    <t>Zavaděč trach. rourek ET extra-dlouhý bal. á 10 ks 100/121/200</t>
  </si>
  <si>
    <t>ZP077</t>
  </si>
  <si>
    <t>Zkumavka 15 ml PP 101/16,5 mm bílý šroubový uzávěr sterilní jednotlivě balená 10362/MO/SG/CS</t>
  </si>
  <si>
    <t>ZB756</t>
  </si>
  <si>
    <t>Zkumavka 3 ml K3 edta fialová 454086</t>
  </si>
  <si>
    <t>ZB757</t>
  </si>
  <si>
    <t>Zkumavka 6 ml K3 edta fialová 456036</t>
  </si>
  <si>
    <t>ZB754</t>
  </si>
  <si>
    <t>Zkumavka černá 2 ml 454073</t>
  </si>
  <si>
    <t>ZB777</t>
  </si>
  <si>
    <t>Zkumavka červená 3,5 ml gel 454071</t>
  </si>
  <si>
    <t>ZB774</t>
  </si>
  <si>
    <t>Zkumavka červená 5 ml gel 456071</t>
  </si>
  <si>
    <t>ZB762</t>
  </si>
  <si>
    <t>Zkumavka červená 6 ml 456092</t>
  </si>
  <si>
    <t>ZB759</t>
  </si>
  <si>
    <t>Zkumavka červená 8 ml gel 455071</t>
  </si>
  <si>
    <t>ZB775</t>
  </si>
  <si>
    <t>Zkumavka koagulace modrá Quick 4 ml modrá 454329</t>
  </si>
  <si>
    <t>ZI182</t>
  </si>
  <si>
    <t>Zkumavka močová + aplikátor s chem.stabilizátorem UriSwab žlutá 802CE.A</t>
  </si>
  <si>
    <t>ZB985</t>
  </si>
  <si>
    <t>Zkumavka močová urin-monovette s pístem 10 ml sterilní bal. á 100 ks 10.252.020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</si>
  <si>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</si>
  <si>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</si>
  <si>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</si>
  <si>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</si>
  <si>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</si>
  <si>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</si>
  <si>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ZB764</t>
  </si>
  <si>
    <t>Zkumavka zelená 4 ml 454051</t>
  </si>
  <si>
    <t>50115063</t>
  </si>
  <si>
    <t>ZPr - vaky, sety (Z528)</t>
  </si>
  <si>
    <t>ZA715</t>
  </si>
  <si>
    <t>Set infuzní intrafix primeline classic 150 cm 4062957</t>
  </si>
  <si>
    <t>ZB715</t>
  </si>
  <si>
    <t>Set pro enterální výživu kangaro univ.  á 30 ks  S777403</t>
  </si>
  <si>
    <t>ZE079</t>
  </si>
  <si>
    <t>Set transfúzní non PVC s odvzdušněním a bakteriálním filtrem ZAR-I-TS</t>
  </si>
  <si>
    <t>50115064</t>
  </si>
  <si>
    <t>ZPr - šicí materiál (Z529)</t>
  </si>
  <si>
    <t>ZA911</t>
  </si>
  <si>
    <t>Šití dafilon modrý 2/0 (3) bal. á 36 ks C0932477</t>
  </si>
  <si>
    <t>ZB882</t>
  </si>
  <si>
    <t>Šití mersilene 2-0 bal. á 36 ks EH6854H</t>
  </si>
  <si>
    <t>ZB834</t>
  </si>
  <si>
    <t>Šití nurolon bk 2-0 bal. á 36 ks EH6604H</t>
  </si>
  <si>
    <t>ZG849</t>
  </si>
  <si>
    <t>Šití premicron zelený 2/0 (3) bal. á 12 ks G0120061</t>
  </si>
  <si>
    <t>ZF937</t>
  </si>
  <si>
    <t>Šití premicron zelený 3/0 (2) bal. á 36 ks C0026553</t>
  </si>
  <si>
    <t>ZC135</t>
  </si>
  <si>
    <t>Šití safil fialový 2/0 (3) bal. á 36 ks C1048031</t>
  </si>
  <si>
    <t>50115065</t>
  </si>
  <si>
    <t>ZPr - vpichovací materiál (Z530)</t>
  </si>
  <si>
    <t>ZB466</t>
  </si>
  <si>
    <t>Jehla chirurgická 0,6 x 22 B14</t>
  </si>
  <si>
    <t>ZB481</t>
  </si>
  <si>
    <t>Jehla chirurgická 0,7 x 25 B13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</si>
  <si>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</si>
  <si>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</si>
  <si>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</si>
  <si>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</si>
  <si>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</si>
  <si>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</si>
  <si>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</si>
  <si>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</si>
  <si>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ZB556</t>
  </si>
  <si>
    <t>Jehla injekční 1,2 x 40 mm růžová 4665120</t>
  </si>
  <si>
    <t>ZA360</t>
  </si>
  <si>
    <t>Jehla sterican 0,5 x 25 mm oranžová 9186158</t>
  </si>
  <si>
    <t>ZB769</t>
  </si>
  <si>
    <t>Jehla vakuová 206/38 mm žlutá 450077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</si>
  <si>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</si>
  <si>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</si>
  <si>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</si>
  <si>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</si>
  <si>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</si>
  <si>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</si>
  <si>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ZP949</t>
  </si>
  <si>
    <t>Rukavice nitril basic bez p. modré XL bal. á 170 ks 44753</t>
  </si>
  <si>
    <t>ZK792</t>
  </si>
  <si>
    <t>Rukavice operační  latex s polyuretanem a silikonem sterilní ansell gammex PFXP chemo cytostatické vel. 7,5 bal. á 50 párů 330054075</t>
  </si>
  <si>
    <t>Rukavice operační  latex s polyuretanem a silikonem sterilní ansell gammex PFXP chemo cytostatické vel. 7,5 bal. á 50 párů 330054075 - již firma nedodává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</si>
  <si>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</si>
  <si>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</si>
  <si>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</si>
  <si>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</si>
  <si>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</si>
  <si>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</si>
  <si>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</si>
  <si>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</si>
  <si>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</si>
  <si>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</si>
  <si>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Rukavice operační gammex PFXP cytostatické vel. 7,5 latex chemo bal. á 50 párů 330054075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</si>
  <si>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</si>
  <si>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</si>
  <si>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8,0 330048080</t>
  </si>
  <si>
    <t>Rukavice operační latex bez pudru sterilní  PF ansell gammex vel. 8,5 330048085</t>
  </si>
  <si>
    <t>Rukavice operační latex bez pudru sterilní  PF ansell gammex vel.7,5 330048075</t>
  </si>
  <si>
    <t>Rukavice vyšetřovací nitril basic bez pudru modré L bal. á 200 ks 44752</t>
  </si>
  <si>
    <t>Rukavice vyšetřovací nitril basic bez pudru modré M bal. á 200 ks 44751</t>
  </si>
  <si>
    <t>ZP946</t>
  </si>
  <si>
    <t>Rukavice vyšetřovací nitril basic bez pudru modré S bal. á 200 ks 44750</t>
  </si>
  <si>
    <t>Rukavice vyšetřovací nitril basic bez pudru modré XL bal. á 170 ks 44753</t>
  </si>
  <si>
    <t>Rukavice vyšetřovací nitril bez pudru nesterilní basic modré M bal. á 200 ks 44751</t>
  </si>
  <si>
    <t>50115070</t>
  </si>
  <si>
    <t>ZPr - katetry ostatní (Z513)</t>
  </si>
  <si>
    <t>ZC637</t>
  </si>
  <si>
    <t>Arteriofix bal. á 20 ks 20G 5206324</t>
  </si>
  <si>
    <t>Katetr arteriální set Arteriofix, pro radiální přístup, 20 G/80 mm, set: katetr+zaváděcí vodič+zav. punkční jehla,  bal. á 20 ks  5206324</t>
  </si>
  <si>
    <t>ZD909</t>
  </si>
  <si>
    <t>Katetr CVC 2 lumen 7 Fr x 20 cm certofix duo ECO 720 á 10 ks 4162200E</t>
  </si>
  <si>
    <t>ZQ598</t>
  </si>
  <si>
    <t>Katetr CVC 2 lumen 7 Fr x 20 cm PHOBOS bal. á 10 ks CCVCBJ2-70-20</t>
  </si>
  <si>
    <t>ZD827</t>
  </si>
  <si>
    <t>Katetr CVC 3 lumen 7 Fr x 20 cm certofix trio SB720 bal. á 10 ks 4163206E</t>
  </si>
  <si>
    <t>Katetr CVC 3 lumen 7 Fr x 20 cm certofix trio SB720 bal. á 10 ks 4163206E-07</t>
  </si>
  <si>
    <t>ZC615</t>
  </si>
  <si>
    <t>Katetr CVC 3 lumen 7 Fr x 20 cm certofix trio V720 bal. á 10 ks 4163214P</t>
  </si>
  <si>
    <t>Katetr CVC 3 lumen 7 Fr x 20 cm certofix trio V720 s antimikr.úpravou bal. á 10 ks 4163214P-07</t>
  </si>
  <si>
    <t>ZD538</t>
  </si>
  <si>
    <t>Katetr dialyzační 2 lumen 12,0 Fr x 15 cm KFE-TDL-1215- K</t>
  </si>
  <si>
    <t>ZQ182</t>
  </si>
  <si>
    <t>Set dialyzační Multifiltrate Ci-Ca CVVHD k přístroji Multifltrate Pro 12, multifiltrate PRO kit CiCa HDF 1000 F00005329</t>
  </si>
  <si>
    <t>50115079</t>
  </si>
  <si>
    <t>ZPr - internzivní péče (Z542)</t>
  </si>
  <si>
    <t>ZB751</t>
  </si>
  <si>
    <t>Hadice PVC 8/12 á 30 m P00468</t>
  </si>
  <si>
    <t>ZB750</t>
  </si>
  <si>
    <t>Hadice vrapovaná metráž dělitelná po 400 mm á 50 m 1574000/W</t>
  </si>
  <si>
    <t>ZB232</t>
  </si>
  <si>
    <t>Maska anesteziologická č.4 EcoMask ( s proužky ) 7094</t>
  </si>
  <si>
    <t>ZB233</t>
  </si>
  <si>
    <t>Maska anesteziologická č.5 EcoMask ( s proužky ) 7095</t>
  </si>
  <si>
    <t>ZF751</t>
  </si>
  <si>
    <t>Maska anesteziologická č.6 EcoMask ( s proužky ) 7096</t>
  </si>
  <si>
    <t>ZN620</t>
  </si>
  <si>
    <t>Maska kyslíková dospělá s nebulizací a hadičkou 2 m bal. á 100 ks A0400</t>
  </si>
  <si>
    <t>ZK714</t>
  </si>
  <si>
    <t>Maska supraglotická č. 3,0 8203000</t>
  </si>
  <si>
    <t>ZA992</t>
  </si>
  <si>
    <t>Maska supraglotická č. 5,0 8205000</t>
  </si>
  <si>
    <t>ZA905</t>
  </si>
  <si>
    <t>Maska tracheostomická 001305</t>
  </si>
  <si>
    <t>ZN621</t>
  </si>
  <si>
    <t>Nos umělý s portem pro odsávání bal. á 30 ks B0300(6000)</t>
  </si>
  <si>
    <t>ZD534</t>
  </si>
  <si>
    <t>Okruh dýchací compact II 2,0 m 2151000</t>
  </si>
  <si>
    <t>ZJ051</t>
  </si>
  <si>
    <t>Okruh dýchací jednorázový - set VentStar Oxylog 3000 bal. á 5 ks 5703041(5702871)</t>
  </si>
  <si>
    <t>ZA827</t>
  </si>
  <si>
    <t>Okruh dýchací ventilační set basic á 25 ks MP00300-00</t>
  </si>
  <si>
    <t>ZC367</t>
  </si>
  <si>
    <t>Převodník tlakový dvoukomorový 150 cm set 2 linky bal. á 10 ks T001650A</t>
  </si>
  <si>
    <t>ZC366</t>
  </si>
  <si>
    <t>Převodník tlakový PX260 150 cm 1 linka bal. á 10 ks (T100209A) T100209B</t>
  </si>
  <si>
    <t>ZC262</t>
  </si>
  <si>
    <t>Převodník tlakový PX2X2 +uzavřený odběrový set VMP172 dvojitý bal. á 10 ks T001741A</t>
  </si>
  <si>
    <t>50115089</t>
  </si>
  <si>
    <t>ZPr - katetry PICC/MIDLINE (Z554)</t>
  </si>
  <si>
    <t>ZO096</t>
  </si>
  <si>
    <t>Katetr CVC 2 lumen 5 Fr x 50 cm PICC MSB set. EU-025052-HPMSB</t>
  </si>
  <si>
    <t>ZP296</t>
  </si>
  <si>
    <t>Katetr CVC 2 lumen 5 Fr x 50 cm PICC POWERPICC SOLO možnost vysokotlakého CT Full tray set ( mikro zaváděcí příslušenství a rouškování) 6295108</t>
  </si>
  <si>
    <t>ZP970</t>
  </si>
  <si>
    <t>Krytí tegaderm PICC/CVC fixační prostředek+ tegaderm CHG s chlorhexidin glukonátem 1877R-2100</t>
  </si>
  <si>
    <t>Krytí tegaderm PICC/CVC fixační prostředek+ tegaderm CHG s chlorhexidin glukonátem 20/BX, 4BX/CS 1877R-2100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</si>
  <si>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</si>
  <si>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</si>
  <si>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</si>
  <si>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</si>
  <si>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</si>
  <si>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</si>
  <si>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</si>
  <si>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</si>
  <si>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</si>
  <si>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</si>
  <si>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</si>
  <si>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</si>
  <si>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</si>
  <si>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</si>
  <si>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</si>
  <si>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</si>
  <si>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</si>
  <si>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</si>
  <si>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</si>
  <si>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</si>
  <si>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</si>
  <si>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</si>
  <si>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</si>
  <si>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</si>
  <si>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</si>
  <si>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07 - Klinika anesteziologie, resuscitace a intenzivní medicíny</t>
  </si>
  <si>
    <t>07</t>
  </si>
  <si>
    <t>5T1</t>
  </si>
  <si>
    <t>V</t>
  </si>
  <si>
    <t>51021</t>
  </si>
  <si>
    <t xml:space="preserve">KOMPLEXNÍ VYŠETŘENÍ CHIRURGEM                     </t>
  </si>
  <si>
    <t>501</t>
  </si>
  <si>
    <t>15401</t>
  </si>
  <si>
    <t xml:space="preserve">ESOFAGOGASTRODUODENOSKOPIE                        </t>
  </si>
  <si>
    <t>15445</t>
  </si>
  <si>
    <t xml:space="preserve">POUŽITÍ VIDEOENDOSKOPU PŘI ENDOSKOPICKÉM VÝKONU Á </t>
  </si>
  <si>
    <t>15910</t>
  </si>
  <si>
    <t>ENDOSKOPICKÁ EXTRAKCE CIZÍHO TĚLESA Z JÍCNU A ŽALU</t>
  </si>
  <si>
    <t>5F1</t>
  </si>
  <si>
    <t>ESOFAGOGASTRODUODENOSKOPIE</t>
  </si>
  <si>
    <t>32510</t>
  </si>
  <si>
    <t>ZAVEDENÍ DLOUHODOBÉ KANYLACE CENTRÁLNÍHO ŽILNÍHO S</t>
  </si>
  <si>
    <t>51313</t>
  </si>
  <si>
    <t>ZÁCHOVNÉ OPERACE SLEZINY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</si>
  <si>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</si>
  <si>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</si>
  <si>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</si>
  <si>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</si>
  <si>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</si>
  <si>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</si>
  <si>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</si>
  <si>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</si>
  <si>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</si>
  <si>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</si>
  <si>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51383</t>
  </si>
  <si>
    <t>GASTROTOMIE, DUODENOTOMIE NEBO JEDNODUCHÁ PYLOROPL</t>
  </si>
  <si>
    <t>51387</t>
  </si>
  <si>
    <t>TOTÁLNÍ GASTREKTOMIE, SUBTOTÁLNÍ GASTREKTOMIE</t>
  </si>
  <si>
    <t>51388</t>
  </si>
  <si>
    <t>GASTROENTEROANASTOMÓZA  NEBO RESEKCE A (NEBO) ANAS</t>
  </si>
  <si>
    <t>51392</t>
  </si>
  <si>
    <t>RELAPAROTOMIE PRO POOPERAČNÍ KRVÁCENÍ, PERITONITID</t>
  </si>
  <si>
    <t>51393</t>
  </si>
  <si>
    <t>EXPLORATIVNÍ LAPAROTOMIE</t>
  </si>
  <si>
    <t xml:space="preserve">EXPLORATIVNÍ LAPAROTOMIE                          </t>
  </si>
  <si>
    <t>51394</t>
  </si>
  <si>
    <t>UZÁVĚR STĚNY BŘIŠNÍ PO EVISCERACI</t>
  </si>
  <si>
    <t xml:space="preserve">UZÁVĚR STĚNY BŘIŠNÍ PO EVISCERACI                 </t>
  </si>
  <si>
    <t>51397</t>
  </si>
  <si>
    <t>OTEVŘENÁ LAVÁŽ PERITONEÁLNÍ DUTINY, SEC. LOOK, LAP</t>
  </si>
  <si>
    <t>51419</t>
  </si>
  <si>
    <t>MÍSTNÍ EXCIZE LÉZE REKTA TRANSSFINKTERICKÁ, TRANSV</t>
  </si>
  <si>
    <t>51423</t>
  </si>
  <si>
    <t>MINIMÁLNÍ ANÁLNÍ VÝKON</t>
  </si>
  <si>
    <t>51518</t>
  </si>
  <si>
    <t>OPERACE VNITŘNÍ KÝLY</t>
  </si>
  <si>
    <t>51623</t>
  </si>
  <si>
    <t>POUŽITÍ ULTRAZVUKOVÉHO SKALPELU</t>
  </si>
  <si>
    <t xml:space="preserve">POUŽITÍ ULTRAZVUKOVÉHO SKALPELU                   </t>
  </si>
  <si>
    <t>51713</t>
  </si>
  <si>
    <t>DIAGNOSTICKÁ VIDEOLAPAROSKOPIE A VIDEOTORAKOSKOPIE</t>
  </si>
  <si>
    <t>51819</t>
  </si>
  <si>
    <t>OŠETŘENÍ A OBVAZ ROZSÁHLÉ RÁNY V CELKOVÉ ANESTEZII</t>
  </si>
  <si>
    <t>57213</t>
  </si>
  <si>
    <t>PLASTICKÉ VÝKONY NA PRŮDUŠNICI A VELKÝCH BRONŠÍCH</t>
  </si>
  <si>
    <t>63589</t>
  </si>
  <si>
    <t>SALPINGEKTOMIE NEBO ADNEXEKTOMIE A NEBO RESEKCE OV</t>
  </si>
  <si>
    <t>71717</t>
  </si>
  <si>
    <t>TRACHEOTOMIE</t>
  </si>
  <si>
    <t xml:space="preserve">TRACHEOTOMIE                                      </t>
  </si>
  <si>
    <t>71747</t>
  </si>
  <si>
    <t>ČÁSTEČNÁ EXSTIRPACE KRČNÍCH UZLIN</t>
  </si>
  <si>
    <t>07546</t>
  </si>
  <si>
    <t>(DRG) OTEVŘENÝ PŘÍSTUP</t>
  </si>
  <si>
    <t xml:space="preserve">(DRG) OTEVŘENÝ PŘÍSTUP                            </t>
  </si>
  <si>
    <t>07422</t>
  </si>
  <si>
    <t>(VZP) EMBOLECTOMIE A. FEMORALIS COMMUNIS</t>
  </si>
  <si>
    <t xml:space="preserve">(VZP) EMBOLECTOMIE A. FEMORALIS COMMUNIS          </t>
  </si>
  <si>
    <t>07531</t>
  </si>
  <si>
    <t xml:space="preserve">(VZP) ARTERIOGRAFIE PEROPERAČNÍ                   </t>
  </si>
  <si>
    <t>(VZP) ARTERIOGRAFIE PEROPERAČNÍ</t>
  </si>
  <si>
    <t>07545</t>
  </si>
  <si>
    <t>(DRG) DRUHÁ A DALŠÍ REOPERACE</t>
  </si>
  <si>
    <t>07350</t>
  </si>
  <si>
    <t>(VZP) ENDARTERECTOMIE BŘIŠNÍ AORTY</t>
  </si>
  <si>
    <t>07550</t>
  </si>
  <si>
    <t>(DRG) ENDOVASKULÁRNÍ PŘÍSTUP PERKUTÁNNÍ NEBO S?PRE</t>
  </si>
  <si>
    <t>07551</t>
  </si>
  <si>
    <t>(DRG) HYBRIDNÍ PŘÍSTUP</t>
  </si>
  <si>
    <t xml:space="preserve">(DRG) HYBRIDNÍ PŘÍSTUP                            </t>
  </si>
  <si>
    <t>07416</t>
  </si>
  <si>
    <t>(VZP) JINÉ REKONSTRUKCE V OBLASTI STEHNA</t>
  </si>
  <si>
    <t xml:space="preserve">(VZP) JINÉ REKONSTRUKCE V OBLASTI STEHNA          </t>
  </si>
  <si>
    <t>07341</t>
  </si>
  <si>
    <t>(VZP) BYPASS AORTO - FEMORÁLNÍ OBOUSTRANNÝ PROTETI</t>
  </si>
  <si>
    <t>07410</t>
  </si>
  <si>
    <t>(VZP) BYPASS FEMORO - PROFUNDÁLNÍ PROTETICKÝ</t>
  </si>
  <si>
    <t>07417</t>
  </si>
  <si>
    <t>(VZP) ENDARTERECTOMIE A. FEMORALIS A JEJÍCH VĚTVÍ</t>
  </si>
  <si>
    <t>07532</t>
  </si>
  <si>
    <t>(VZP) TRANSLUMINÁLNÍ ANGIOPLASTIKA PEROPERAČNÍ</t>
  </si>
  <si>
    <t>07390</t>
  </si>
  <si>
    <t>(VZP) EMBOLECTOMIE A.ILIACA</t>
  </si>
  <si>
    <t>07542</t>
  </si>
  <si>
    <t>(VZP) CÉVNÍ VÝKON JINDE NEZAŘAZENÝ</t>
  </si>
  <si>
    <t>07565</t>
  </si>
  <si>
    <t>(DRG) KATASTROFICKÁ OPERACE KVCH</t>
  </si>
  <si>
    <t>07571</t>
  </si>
  <si>
    <t>(DRG) POOPERAČNÍ REVIZE PRO KRVÁCENÍ, INFEKCI NEBO</t>
  </si>
  <si>
    <t>07421</t>
  </si>
  <si>
    <t>(VZP) TROMBECTOMIE BYPASSU VE FEMORÁLNÍ OBLASTI</t>
  </si>
  <si>
    <t>07356</t>
  </si>
  <si>
    <t>(VZP) TROMBECTOMIE BYPASSU BŘIŠNÍ AORTY</t>
  </si>
  <si>
    <t>07407</t>
  </si>
  <si>
    <t>(VZP) BYPASS FEMORO - POPLITEÁLNÍ DISTÁLNÍ PROTETI</t>
  </si>
  <si>
    <t>07335</t>
  </si>
  <si>
    <t>(VZP) BYPASS AORTO - ILICKÝ NEBO NÁHRADA OBOUSTRAN</t>
  </si>
  <si>
    <t>07197</t>
  </si>
  <si>
    <t>(DRG) ZAVEDENÍ STENTU ČI STENTGRAFTU DO DESCENDENT</t>
  </si>
  <si>
    <t>07322</t>
  </si>
  <si>
    <t>(VZP) REVIZE TEPEN HORNÍCH KONČETIN PRO  KRVÁCENÍ</t>
  </si>
  <si>
    <t>07401</t>
  </si>
  <si>
    <t>(VZP) REVIZE V OBLASTI PÁNEVNÍCH TEPEN PRO  KRVÁCE</t>
  </si>
  <si>
    <t>07457</t>
  </si>
  <si>
    <t>(VZP) BYPASS POPLITEO - CRURÁLNÍ VĚTVENÝ AUTOLOGNÍ</t>
  </si>
  <si>
    <t>07320</t>
  </si>
  <si>
    <t>(VZP) BYPASS NEBO NÁHRADA TEPEN HORNÍCH KONČETIN A</t>
  </si>
  <si>
    <t>07543</t>
  </si>
  <si>
    <t>(DRG) PRIMOOPERACE</t>
  </si>
  <si>
    <t xml:space="preserve">(DRG) PRIMOOPERACE                                </t>
  </si>
  <si>
    <t>51396</t>
  </si>
  <si>
    <t>PUNKCE DUTINY BŘIŠNÍ S DRENÁŽÍ EV. LAVAŽÍ</t>
  </si>
  <si>
    <t>54990</t>
  </si>
  <si>
    <t>ODBĚR ŽILNÍHO ŠTĚPU</t>
  </si>
  <si>
    <t>51371</t>
  </si>
  <si>
    <t xml:space="preserve">CHOLECYSTEKTOMIE                                  </t>
  </si>
  <si>
    <t>CHOLECYSTEKTOMIE</t>
  </si>
  <si>
    <t>54810</t>
  </si>
  <si>
    <t xml:space="preserve">PEROPERAČNÍ ANGIOGRAFIE                           </t>
  </si>
  <si>
    <t>PEROPERAČNÍ ANGIOGRAFIE</t>
  </si>
  <si>
    <t>51425</t>
  </si>
  <si>
    <t>HEMOROIDEKTOMIE</t>
  </si>
  <si>
    <t>57251</t>
  </si>
  <si>
    <t>KLÍNOVITÁ RESEKCE PLIC NEBO ENUKLEACE TUMORU</t>
  </si>
  <si>
    <t>54190</t>
  </si>
  <si>
    <t xml:space="preserve">OSTATNÍ REKONSTRUKCE TEPEN A BY-PASSY             </t>
  </si>
  <si>
    <t>OSTATNÍ REKONSTRUKCE TEPEN A BY-PASSY</t>
  </si>
  <si>
    <t>51825</t>
  </si>
  <si>
    <t>SEKUNDÁRNÍ SUTURA RÁNY</t>
  </si>
  <si>
    <t xml:space="preserve">SEKUNDÁRNÍ SUTURA RÁNY                            </t>
  </si>
  <si>
    <t>51850</t>
  </si>
  <si>
    <t>PŘEVAZ RÁNY METODOU V. A. C. (VACUUM ASISTED CLOSU</t>
  </si>
  <si>
    <t>07379</t>
  </si>
  <si>
    <t>(VZP) BYPASS NEBO NÁHRADA ILIKO - FEMORÁLNÍ PROTET</t>
  </si>
  <si>
    <t>51386</t>
  </si>
  <si>
    <t>SUTURA EV. EXCIZE A SUTURA LÉZE STĚNY ŽALUDKU NEBO</t>
  </si>
  <si>
    <t>90818</t>
  </si>
  <si>
    <t>(DRG) CHOLECYSTEKTOMIE PROSTÁ LAPAROSKOPICKY</t>
  </si>
  <si>
    <t>51711</t>
  </si>
  <si>
    <t>VÝKON LAPAROSKOPICKÝ A TORAKOSKOPICKÝ</t>
  </si>
  <si>
    <t>51311</t>
  </si>
  <si>
    <t>SPLENEKTOMIE</t>
  </si>
  <si>
    <t>51811</t>
  </si>
  <si>
    <t>INCIZE A DRENÁŽ ABSCESU NEBO HEMATOMU</t>
  </si>
  <si>
    <t>51367</t>
  </si>
  <si>
    <t>APENDEKTOMIE NEBO OPERAČNÍ DRENÁŽ PERIAPENDIKULÁRN</t>
  </si>
  <si>
    <t>51827</t>
  </si>
  <si>
    <t xml:space="preserve">MULTIORGÁNOVÝ ODBĚR                               </t>
  </si>
  <si>
    <t>MULTIORGÁNOVÝ ODBĚR</t>
  </si>
  <si>
    <t>54120</t>
  </si>
  <si>
    <t>ANEURYSMA BŘIŠNÍ AORTY (NÁHRADA BIFURKAČNÍ PROTÉZO</t>
  </si>
  <si>
    <t>07564</t>
  </si>
  <si>
    <t xml:space="preserve">(DRG) EMERGENTNÍ OPERACE KVCH                     </t>
  </si>
  <si>
    <t>(DRG) EMERGENTNÍ OPERACE KVCH</t>
  </si>
  <si>
    <t>62310</t>
  </si>
  <si>
    <t>NEKREKTOMIE DO 1% POVRCHU TĚLA</t>
  </si>
  <si>
    <t>07562</t>
  </si>
  <si>
    <t>(DRG) PLÁNOVANÁ OPERACE KVCH</t>
  </si>
  <si>
    <t xml:space="preserve">(DRG) PLÁNOVANÁ OPERACE KVCH                      </t>
  </si>
  <si>
    <t>51511</t>
  </si>
  <si>
    <t>OPERACE KÝLY INQUINÁLNÍ A FEMORÁLNÍ - DOSPĚLÍ, VČE</t>
  </si>
  <si>
    <t>51217</t>
  </si>
  <si>
    <t>EZOFAGEKTOMIE BEZ TORAKOTOMIE S NÁHRADOU JÍCNU ŽAL</t>
  </si>
  <si>
    <t>51345</t>
  </si>
  <si>
    <t>PARCIÁLNÍ RESEKCE JATER NEBO OŠETŘENÍ VĚTŠÍHO PORA</t>
  </si>
  <si>
    <t>54320</t>
  </si>
  <si>
    <t xml:space="preserve">ENDARTEREKTOMIE KAROTICKÁ A OSTATNÍCH PERIFERNÍCH </t>
  </si>
  <si>
    <t>07552</t>
  </si>
  <si>
    <t xml:space="preserve">(DRG) OPERAČNÍ VÝKON BEZ MIMOTĚLNÍHO OBĚHU        </t>
  </si>
  <si>
    <t>(DRG) OPERAČNÍ VÝKON BEZ MIMOTĚLNÍHO OBĚHU</t>
  </si>
  <si>
    <t>07363</t>
  </si>
  <si>
    <t xml:space="preserve">(VZP) ZAVEDENÍ BIFURKAČNÍHO STENTGRAFTU DO BŘIŠNÍ </t>
  </si>
  <si>
    <t>54325</t>
  </si>
  <si>
    <t>AORTOILICKÁ EMBOLEKTOMIE NEBO TROMBEKTOMIE BIFURKA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</si>
  <si>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</si>
  <si>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</si>
  <si>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</si>
  <si>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</si>
  <si>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</si>
  <si>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</si>
  <si>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</si>
  <si>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 xml:space="preserve">LEVOSTRANNÁ PANKREATEKTOMIE SE SPLENEKTOMIÍ       </t>
  </si>
  <si>
    <t>07423</t>
  </si>
  <si>
    <t xml:space="preserve">(VZP) EMBOLECTOMIE A. FEMORALIS PROFUNDA          </t>
  </si>
  <si>
    <t>07318</t>
  </si>
  <si>
    <t>(VZP) EMBOLECTOMIE TEPEN HORNÍCH KONČETIN</t>
  </si>
  <si>
    <t>07563</t>
  </si>
  <si>
    <t>(DRG) URGENTNÍ OPERACE KVCH</t>
  </si>
  <si>
    <t xml:space="preserve">(DRG) URGENTNÍ OPERACE KVCH                       </t>
  </si>
  <si>
    <t>07544</t>
  </si>
  <si>
    <t>(DRG) PRVNÍ REOPERACE</t>
  </si>
  <si>
    <t xml:space="preserve">(DRG) PRVNÍ REOPERACE                             </t>
  </si>
  <si>
    <t>51385</t>
  </si>
  <si>
    <t>RESEKCE ŽALUDKU S ANASTOMÓZOU</t>
  </si>
  <si>
    <t>51515</t>
  </si>
  <si>
    <t>OPERACE KÝLY UMBILIKÁLNÍ NEBO EPIGASTRICKÁ - DOSPĚ</t>
  </si>
  <si>
    <t>57241</t>
  </si>
  <si>
    <t xml:space="preserve">DEKORTIKACE PLÍCE                                 </t>
  </si>
  <si>
    <t>DEKORTIKACE PLÍCE</t>
  </si>
  <si>
    <t>07469</t>
  </si>
  <si>
    <t>(VZP) EMBOLECTOMIE A. POPLITEA A BÉRCOVÝCH TEPEN</t>
  </si>
  <si>
    <t>51391</t>
  </si>
  <si>
    <t>LAPAROTOMIE A OŠETŘENÍ VÍCEČETNÉHO VISCERÁLNÍHO PO</t>
  </si>
  <si>
    <t>54510</t>
  </si>
  <si>
    <t>PEROPERAČNÍ TRANSLUMINÁLNÍ ANGIOPLASTIKA</t>
  </si>
  <si>
    <t>54340</t>
  </si>
  <si>
    <t xml:space="preserve">TEPENNÁ EMBOLEKTOMIE, TROMBEKTOMIE                </t>
  </si>
  <si>
    <t>TEPENNÁ EMBOLEKTOMIE, TROMBEKTOMIE</t>
  </si>
  <si>
    <t>57235</t>
  </si>
  <si>
    <t>TORAKOTOMIE PROSTÁ NEBO S BIOPSIÍ, EVAKUACÍ HEMATO</t>
  </si>
  <si>
    <t>51365</t>
  </si>
  <si>
    <t xml:space="preserve">UZÁVĚR A ÚPRAVA STOMIÍ NA TLUSTÉM STŘEVĚ          </t>
  </si>
  <si>
    <t>07389</t>
  </si>
  <si>
    <t xml:space="preserve">(VZP) TROMBECTOMIE A.ILIACA                       </t>
  </si>
  <si>
    <t>(VZP) TROMBECTOMIE A.ILIACA</t>
  </si>
  <si>
    <t>51355</t>
  </si>
  <si>
    <t>DVOJ - A VÍCENÁSOBNÁ RESEKCE A (NEBO) ANASTOMÓZA T</t>
  </si>
  <si>
    <t>07418</t>
  </si>
  <si>
    <t xml:space="preserve">(VZP) TROMBECTOMIE  A. FEMORALIS A JEJÍCH VĚTVÍ   </t>
  </si>
  <si>
    <t>51421</t>
  </si>
  <si>
    <t>KOREKCE ANÁLNÍHO SFINKTERU A ANOREKTÁLNÍHO PŘECHOD</t>
  </si>
  <si>
    <t>61131</t>
  </si>
  <si>
    <t>EXCIZE KOŽNÍ LÉZE, SUTURA VÍCE NEŽ 10 CM</t>
  </si>
  <si>
    <t>54310</t>
  </si>
  <si>
    <t xml:space="preserve">AORTOILICKÝ ÚSEK - ENDARTEREKTOMIE                </t>
  </si>
  <si>
    <t>AORTOILICKÝ ÚSEK - ENDARTEREKTOMIE</t>
  </si>
  <si>
    <t>54850</t>
  </si>
  <si>
    <t>CHIRURGICKÉ ŘEŠENÍ INFEKCE  CÉVNÍ PROTÉZY V AORTOF</t>
  </si>
  <si>
    <t>51326</t>
  </si>
  <si>
    <t>DRENÁŽNÍ OPERACE PŘI AKUTNÍ PANKEATITIDĚ, DRENÁŽ A</t>
  </si>
  <si>
    <t>07424</t>
  </si>
  <si>
    <t>(VZP) EMBOLECTOMIE A. FEMORALIS SUPERFICIALIS</t>
  </si>
  <si>
    <t>57221</t>
  </si>
  <si>
    <t>OPERAČNÍ STABILIZACE HRUDNÍKU PO ÚRAZE - JEDNA STR</t>
  </si>
  <si>
    <t>66915</t>
  </si>
  <si>
    <t>DEKOMPRESE FASCIÁLNÍHO LOŽE</t>
  </si>
  <si>
    <t>07388</t>
  </si>
  <si>
    <t>(VZP) ENDARTERECTOMIE  A.ILIACA</t>
  </si>
  <si>
    <t xml:space="preserve">(VZP) ENDARTERECTOMIE  A.ILIACA                   </t>
  </si>
  <si>
    <t>57231</t>
  </si>
  <si>
    <t>MEDIASTINOTOMIE</t>
  </si>
  <si>
    <t>51361</t>
  </si>
  <si>
    <t>KOLEKTOMIE SUBTOTÁLNÍ S ILEOSTOMIÍ A UZÁVĚREM REKT</t>
  </si>
  <si>
    <t>07428</t>
  </si>
  <si>
    <t>(VZP) REVIZE V OBLASTI STEHNA PRO  KRVÁCENÍ</t>
  </si>
  <si>
    <t>57237</t>
  </si>
  <si>
    <t>SUTURA RUPTUTY BRÁNICE TORAKOTOMICKÝM PŘÍSTUPEM</t>
  </si>
  <si>
    <t>07329</t>
  </si>
  <si>
    <t xml:space="preserve">(VZP) NÁHRADA AORTO - AORTÁLNÍ PROTETICKÁ         </t>
  </si>
  <si>
    <t>51117</t>
  </si>
  <si>
    <t>KRČNÍ EZOFAGOSTOMIE</t>
  </si>
  <si>
    <t>07419</t>
  </si>
  <si>
    <t xml:space="preserve">(VZP) KOMPLETNÍ ODSTRANĚNÍ PROTETICKÉHO MATERIÁLU </t>
  </si>
  <si>
    <t>07347</t>
  </si>
  <si>
    <t>(VZP) REKONSTRUKCE AORTO - MESENTERICKÁ</t>
  </si>
  <si>
    <t>07499</t>
  </si>
  <si>
    <t>(VZP) INTERPOZICE ŽILNÍHO ÚSEKU</t>
  </si>
  <si>
    <t>07535</t>
  </si>
  <si>
    <t>(VZP) JINÝ ENDOVASKULÁRNÍ UZÁVĚR TEPNY PEROPERAČNÍ</t>
  </si>
  <si>
    <t>90952</t>
  </si>
  <si>
    <t>(DRG) EXTRAKCE TROMBU NEBO EMBOLU ENDOVASKULÁRNÍ C</t>
  </si>
  <si>
    <t>90954</t>
  </si>
  <si>
    <t>(DRG) KRITICKÁ KONČETINOVÁ ISCHEMIE</t>
  </si>
  <si>
    <t>07466</t>
  </si>
  <si>
    <t>(VZP) JINÁ REKONSTRUKCE V INFRAPOPLITEÁLNÍ OBLASTI</t>
  </si>
  <si>
    <t>07337</t>
  </si>
  <si>
    <t>07517</t>
  </si>
  <si>
    <t>(VZP) REVIZE ŽILNÍHO SYSTÉMU PRO  KRVÁCENÍ</t>
  </si>
  <si>
    <t>07387</t>
  </si>
  <si>
    <t xml:space="preserve">(VZP) JINÉ REKONSTRUKCE V OBLASTI PÁNEVNÍCH TEPEN </t>
  </si>
  <si>
    <t>07357</t>
  </si>
  <si>
    <t xml:space="preserve">(VZP) EMBOLECTOMIE BŘIŠNÍ AORTY                   </t>
  </si>
  <si>
    <t>07395</t>
  </si>
  <si>
    <t>07516</t>
  </si>
  <si>
    <t>(VZP) ODBĚR A PŘÍPRAVA ŽILNÍHO ŠTĚPU Z HLUBOKÉ ŽÍL</t>
  </si>
  <si>
    <t>5F3</t>
  </si>
  <si>
    <t>51859</t>
  </si>
  <si>
    <t>FIXAČNÍ SÁDROVÁ DLAHA - NOHA, BÉREC</t>
  </si>
  <si>
    <t>51863</t>
  </si>
  <si>
    <t xml:space="preserve">SÁDROVÁ DLAHA - CELÁ DOLNÍ KONČETINA              </t>
  </si>
  <si>
    <t>51877</t>
  </si>
  <si>
    <t xml:space="preserve">PŘILOŽENÍ LÉČEBNÉ POMŮCKY - ORTÉZY                </t>
  </si>
  <si>
    <t>PŘILOŽENÍ LÉČEBNÉ POMŮCKY - ORTÉZY</t>
  </si>
  <si>
    <t>53159</t>
  </si>
  <si>
    <t>OTEVŘENÁ REPOZICE A OSTEOSYNTÉZA ZLOMENIN OBOU KOS</t>
  </si>
  <si>
    <t>53163</t>
  </si>
  <si>
    <t>OTEVŘENÁ REPOZICE A OSTEOSYNTÉZA VÍCEÚLOMKOVÝCH ZL</t>
  </si>
  <si>
    <t>53253</t>
  </si>
  <si>
    <t xml:space="preserve">OTEVŘENÁ REPOZICE A OSTEOSYNTÉZA ZLOMENIN DIAFÝZY </t>
  </si>
  <si>
    <t>53413</t>
  </si>
  <si>
    <t>ZAVŘENÁ REPOZICE ZLOMENINY BÉRCE VČETNĚ NITROKLOUB</t>
  </si>
  <si>
    <t>53453</t>
  </si>
  <si>
    <t>OTEVŘENÁ REPOZICE ZLOMENINY NEBO LUXACE VÍCE METAT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</si>
  <si>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</si>
  <si>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</si>
  <si>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</si>
  <si>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</si>
  <si>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</si>
  <si>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</si>
  <si>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</si>
  <si>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</si>
  <si>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53519</t>
  </si>
  <si>
    <t>SUTURA ČERSTVÉHO PORANĚNÍ VAZIVOVÉHO APARÁTU V OBL</t>
  </si>
  <si>
    <t>66683</t>
  </si>
  <si>
    <t>AMPUTACE JEDNOHO PAPRSKU DOLNÍ KONČETINY</t>
  </si>
  <si>
    <t>66813</t>
  </si>
  <si>
    <t>ODSTRANĚNÍ OSTEOSYNTETICKÉHO MATERIÁLU</t>
  </si>
  <si>
    <t xml:space="preserve">ODSTRANĚNÍ OSTEOSYNTETICKÉHO MATERIÁLU            </t>
  </si>
  <si>
    <t>66819</t>
  </si>
  <si>
    <t xml:space="preserve">APLIKACE ZEVNÍHO FIXATÉRU                         </t>
  </si>
  <si>
    <t>APLIKACE ZEVNÍHO FIXATÉRU</t>
  </si>
  <si>
    <t>66823</t>
  </si>
  <si>
    <t xml:space="preserve">ODSTRANĚNÍ ZEVNÍHO FIXATÉRU                       </t>
  </si>
  <si>
    <t>ODSTRANĚNÍ ZEVNÍHO FIXATÉRU</t>
  </si>
  <si>
    <t>66829</t>
  </si>
  <si>
    <t>ZAVEDENÍ PROPLACHOVÉ LAVÁŽE</t>
  </si>
  <si>
    <t>66879</t>
  </si>
  <si>
    <t>OTEVŘENÁ SPONGIOPLASTIKA</t>
  </si>
  <si>
    <t>53457</t>
  </si>
  <si>
    <t>ZLOMENINY DOLNÍHO KONCE BÉRCE A HLEZNA S NITROKLOU</t>
  </si>
  <si>
    <t>51861</t>
  </si>
  <si>
    <t>CIRKULÁRNÍ SÁDROVÝ OBVAZ - NOHA, BÉREC</t>
  </si>
  <si>
    <t>53490</t>
  </si>
  <si>
    <t>ROZSÁHLÉ DEBRIDEMENT SLOŽITÝCH OTEVŘENÝCH ZLOMENIN</t>
  </si>
  <si>
    <t>66127</t>
  </si>
  <si>
    <t xml:space="preserve">MANIPULACE V CELKOVÉ NEBO LOKÁLNÍ ANESTÉZII       </t>
  </si>
  <si>
    <t>MANIPULACE V CELKOVÉ NEBO LOKÁLNÍ ANESTÉZII</t>
  </si>
  <si>
    <t>66815</t>
  </si>
  <si>
    <t>AUTOGENNÍ ŠTĚP</t>
  </si>
  <si>
    <t>51855</t>
  </si>
  <si>
    <t xml:space="preserve">FIXAČNÍ SÁDROVÁ DLAHA - CELÁ HORNÍ KONČETINA      </t>
  </si>
  <si>
    <t>53155</t>
  </si>
  <si>
    <t>OTEVŘENÁ REPOZICE - SYNTÉZA LUXACE KARPU - INTRAAR</t>
  </si>
  <si>
    <t>53471</t>
  </si>
  <si>
    <t>ZLOMENINA HORNÍHO KONCE FEMURU - REPOZICE OTEVŘENÁ</t>
  </si>
  <si>
    <t>66457</t>
  </si>
  <si>
    <t>REKONSTRUKCE VAZŮ - LOKET, PŘEDLOKTÍ</t>
  </si>
  <si>
    <t>53157</t>
  </si>
  <si>
    <t>OTEVŘENÁ REPOZICE A OSTEOSYNTÉZA ZLOMENINY JEDNÉ K</t>
  </si>
  <si>
    <t>53467</t>
  </si>
  <si>
    <t>ZLOMENINY TIBIÁLNÍHO NEBO FIBULÁRNÍHO PLATEAU TIBI</t>
  </si>
  <si>
    <t>53117</t>
  </si>
  <si>
    <t>ZAVŘENÁ REPOZICE LUXACE LOKETNÍHO KLOUBU NEBO HLAV</t>
  </si>
  <si>
    <t>53461</t>
  </si>
  <si>
    <t>ZLOMENINA HORNÍHO KONCE TIBIE - DIAKONDYLICKÁ - (T</t>
  </si>
  <si>
    <t>62320</t>
  </si>
  <si>
    <t>NEKREKTOMIE DO 5 % POVRCHU TĚLA - TANGENCIÁLNÍ NEB</t>
  </si>
  <si>
    <t>53485</t>
  </si>
  <si>
    <t>ZLOMENINY PÁNEVNÍHO KRUHU - NESTABILNÍ - S OPERAČN</t>
  </si>
  <si>
    <t>53515</t>
  </si>
  <si>
    <t>SUTURA ŠLACHY EXTENSORU RUKY A ZÁPĚSTÍ</t>
  </si>
  <si>
    <t>62640</t>
  </si>
  <si>
    <t>ODBĚR DERMOEPIDERMÁLNÍHO ŠTĚPU: 1 - 5 % Z PLOCHY P</t>
  </si>
  <si>
    <t>66821</t>
  </si>
  <si>
    <t xml:space="preserve">PERKUTÁNNÍ FIXACE K-DRÁTEM                        </t>
  </si>
  <si>
    <t>PERKUTÁNNÍ FIXACE K-DRÁTEM</t>
  </si>
  <si>
    <t>53151</t>
  </si>
  <si>
    <t>OTEVĚNÁ REPOZICE A OSTEOSYNTÉZA ZLOMENINY NEBO LUX</t>
  </si>
  <si>
    <t>66825</t>
  </si>
  <si>
    <t xml:space="preserve">UPRAVENÍ ZEVNÍHO FIXATÉRU                         </t>
  </si>
  <si>
    <t>53451</t>
  </si>
  <si>
    <t>OTEVŘENÁ REPOZICE ZLOMENINY NEBO LUXACE JEDNOHO ME</t>
  </si>
  <si>
    <t>53255</t>
  </si>
  <si>
    <t xml:space="preserve">OTEVŘENÁ REPOZICE A OSTEOSYNTÉZA ZLOMENIN HORNÍHO </t>
  </si>
  <si>
    <t>66921</t>
  </si>
  <si>
    <t xml:space="preserve">EXKOCHLEACE A SPONGIOPLASTIKA                     </t>
  </si>
  <si>
    <t>53417</t>
  </si>
  <si>
    <t>53511</t>
  </si>
  <si>
    <t>SUTURA ŠLACHY EXTENZORU - MIMO RUKU A ZÁPĚSTÍ A KO</t>
  </si>
  <si>
    <t>53455</t>
  </si>
  <si>
    <t xml:space="preserve">OTEVŘENÁ REPOZICE ZLOMENINY KOSTI PATNÍ           </t>
  </si>
  <si>
    <t>53465</t>
  </si>
  <si>
    <t>OTEVŘENÁ REPOZICE LUXACE PATELY AKUTNÍ / RECIDIVUJ</t>
  </si>
  <si>
    <t>66415</t>
  </si>
  <si>
    <t xml:space="preserve">AMPUTACE - RUKA                                   </t>
  </si>
  <si>
    <t>5F5</t>
  </si>
  <si>
    <t>07258</t>
  </si>
  <si>
    <t xml:space="preserve">(DRG) ZAVEDENÍ ECMO, PERIFERNÍ KANYLACE           </t>
  </si>
  <si>
    <t>07554</t>
  </si>
  <si>
    <t>(DRG) OPERAČNÍ VÝKON S MIMOTĚLNÍM OBĚHEM, PERIFERN</t>
  </si>
  <si>
    <t>55227</t>
  </si>
  <si>
    <t>IMPLANTACE ECMO (EXTRAKORPORÁLNÍ MEMBRÁNOVÁ OXYGEN</t>
  </si>
  <si>
    <t>5F6</t>
  </si>
  <si>
    <t>56119</t>
  </si>
  <si>
    <t xml:space="preserve">DEKOMPRESIVNÍ KRANIEKTOMIE                        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</si>
  <si>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</si>
  <si>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</si>
  <si>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</si>
  <si>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</si>
  <si>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</si>
  <si>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</si>
  <si>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</si>
  <si>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</si>
  <si>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</si>
  <si>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</si>
  <si>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</si>
  <si>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</si>
  <si>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</si>
  <si>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</si>
  <si>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</si>
  <si>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66339</t>
  </si>
  <si>
    <t>OPERAČNÍ PŘÍSTUP NA PÁTEŘ - STANDARDNÍ - ZADNÍ SKE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</si>
  <si>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</si>
  <si>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</si>
  <si>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</si>
  <si>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</si>
  <si>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</si>
  <si>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</si>
  <si>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</si>
  <si>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</si>
  <si>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</si>
  <si>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</si>
  <si>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66341</t>
  </si>
  <si>
    <t>OPERAČNÍ PŘÍSTUP K PÁTEŘI - STANDARDNÍ - ZADNÍ TZV</t>
  </si>
  <si>
    <t>56177</t>
  </si>
  <si>
    <t>KRANIOTOMIE A RESEKCE, PŘÍPADNĚ LOBEKTOMIE PRO TUM</t>
  </si>
  <si>
    <t>66325</t>
  </si>
  <si>
    <t>RESEKCE OBRATLE - ZADNÍ - LAMINEKTOMIE KOMPLETNÍ J</t>
  </si>
  <si>
    <t>66331</t>
  </si>
  <si>
    <t>FŮZE PÁTEŘE - STANDARDNÍ ZADNÍ - 1 SEGMENT</t>
  </si>
  <si>
    <t>66327</t>
  </si>
  <si>
    <t>RESEKCE OBRATLE - ZADNÍ - LAMINEKTOMIE INKOMPLETNÍ</t>
  </si>
  <si>
    <t>56117</t>
  </si>
  <si>
    <t xml:space="preserve">INTRAKRANIÁLNÍ REKONSTRUKČNÍ OPERACE PŘI LIKVOREI </t>
  </si>
  <si>
    <t>INTRAKRANIÁLNÍ REKONSTRUKČNÍ OPERACE PŘI LIKVOREI</t>
  </si>
  <si>
    <t>1</t>
  </si>
  <si>
    <t>0003708</t>
  </si>
  <si>
    <t>0003952</t>
  </si>
  <si>
    <t>0005113</t>
  </si>
  <si>
    <t>TARGOCID</t>
  </si>
  <si>
    <t>0006480</t>
  </si>
  <si>
    <t>0011592</t>
  </si>
  <si>
    <t>0011785</t>
  </si>
  <si>
    <t>0016547</t>
  </si>
  <si>
    <t>CYMEVENE</t>
  </si>
  <si>
    <t>0016600</t>
  </si>
  <si>
    <t>0017041</t>
  </si>
  <si>
    <t>CEFOBID</t>
  </si>
  <si>
    <t>0020605</t>
  </si>
  <si>
    <t>COLOMYCIN INJEKCE 1 000 000 MEZINÁRODNÍCH JEDNOTEK</t>
  </si>
  <si>
    <t>0026042</t>
  </si>
  <si>
    <t>0026127</t>
  </si>
  <si>
    <t>0026902</t>
  </si>
  <si>
    <t>VFEND</t>
  </si>
  <si>
    <t>0029979</t>
  </si>
  <si>
    <t>FLEBOGAMMA DIF</t>
  </si>
  <si>
    <t>0029980</t>
  </si>
  <si>
    <t>0045123</t>
  </si>
  <si>
    <t>VISIPAQUE 320 MG I/ML</t>
  </si>
  <si>
    <t>VISIPAQUE</t>
  </si>
  <si>
    <t>0053922</t>
  </si>
  <si>
    <t>0058092</t>
  </si>
  <si>
    <t>CEFAZOLIN SANDOZ</t>
  </si>
  <si>
    <t>0062464</t>
  </si>
  <si>
    <t>0062465</t>
  </si>
  <si>
    <t>0064831</t>
  </si>
  <si>
    <t>AXETINE</t>
  </si>
  <si>
    <t>0065989</t>
  </si>
  <si>
    <t>MYCOMAX</t>
  </si>
  <si>
    <t>0066137</t>
  </si>
  <si>
    <t>0072972</t>
  </si>
  <si>
    <t>AMOKSIKLAV 1,2 G</t>
  </si>
  <si>
    <t>0072973</t>
  </si>
  <si>
    <t>AMOKSIKLAV 600 MG</t>
  </si>
  <si>
    <t>0076353</t>
  </si>
  <si>
    <t>FORTUM</t>
  </si>
  <si>
    <t>0076354</t>
  </si>
  <si>
    <t>0077018</t>
  </si>
  <si>
    <t>ULTRAVIST 370</t>
  </si>
  <si>
    <t>0087239</t>
  </si>
  <si>
    <t>FANHDI</t>
  </si>
  <si>
    <t>0087240</t>
  </si>
  <si>
    <t>0091148</t>
  </si>
  <si>
    <t>0091731</t>
  </si>
  <si>
    <t>0094155</t>
  </si>
  <si>
    <t>0094176</t>
  </si>
  <si>
    <t>CEFOTAXIME LEK</t>
  </si>
  <si>
    <t>0096414</t>
  </si>
  <si>
    <t>GENTAMICIN LEK</t>
  </si>
  <si>
    <t>0097000</t>
  </si>
  <si>
    <t>0097910</t>
  </si>
  <si>
    <t>HUMAN ALBUMIN GRIFOLS 20%</t>
  </si>
  <si>
    <t>0104051</t>
  </si>
  <si>
    <t>0112782</t>
  </si>
  <si>
    <t>GENTAMICIN B.BRAUN</t>
  </si>
  <si>
    <t>0112786</t>
  </si>
  <si>
    <t>0121238</t>
  </si>
  <si>
    <t>CEFTRIAXON KABI</t>
  </si>
  <si>
    <t>0131654</t>
  </si>
  <si>
    <t>CEFTAZIDIM KABI</t>
  </si>
  <si>
    <t>0131656</t>
  </si>
  <si>
    <t>0138455</t>
  </si>
  <si>
    <t>0142077</t>
  </si>
  <si>
    <t>0151458</t>
  </si>
  <si>
    <t>CEFUROXIM KABI</t>
  </si>
  <si>
    <t>0155939</t>
  </si>
  <si>
    <t>0162180</t>
  </si>
  <si>
    <t>CIPROFLOXACIN KABI</t>
  </si>
  <si>
    <t>0162187</t>
  </si>
  <si>
    <t>0162809</t>
  </si>
  <si>
    <t>0164401</t>
  </si>
  <si>
    <t>0166269</t>
  </si>
  <si>
    <t>0500570</t>
  </si>
  <si>
    <t>ZARZIO</t>
  </si>
  <si>
    <t>0500720</t>
  </si>
  <si>
    <t>MYCAMINE</t>
  </si>
  <si>
    <t>0129056</t>
  </si>
  <si>
    <t>0164407</t>
  </si>
  <si>
    <t>0198192</t>
  </si>
  <si>
    <t>0129057</t>
  </si>
  <si>
    <t>0136083</t>
  </si>
  <si>
    <t>AMPICILLIN AND SULBACTAM IBI 1 G + 500 MG PRÁŠEK P</t>
  </si>
  <si>
    <t>0201030</t>
  </si>
  <si>
    <t>0064835</t>
  </si>
  <si>
    <t>0113453</t>
  </si>
  <si>
    <t>0149384</t>
  </si>
  <si>
    <t>0151460</t>
  </si>
  <si>
    <t>0129834</t>
  </si>
  <si>
    <t>0129836</t>
  </si>
  <si>
    <t>0166265</t>
  </si>
  <si>
    <t>0183926</t>
  </si>
  <si>
    <t>AZEPO</t>
  </si>
  <si>
    <t>0203319</t>
  </si>
  <si>
    <t>IMMUNATE STIM PLUS 500 IU FVIII/375 IU VWF</t>
  </si>
  <si>
    <t>0202911</t>
  </si>
  <si>
    <t>0141263</t>
  </si>
  <si>
    <t>0195147</t>
  </si>
  <si>
    <t>0183817</t>
  </si>
  <si>
    <t>0201967</t>
  </si>
  <si>
    <t>VULMIZOLIN</t>
  </si>
  <si>
    <t>0196852</t>
  </si>
  <si>
    <t>VORIKONAZOL SANDOZ</t>
  </si>
  <si>
    <t>0207309</t>
  </si>
  <si>
    <t>0173181</t>
  </si>
  <si>
    <t>IMMUNATE STIM PLUS 1000 IU FVIII/750 IU VWF</t>
  </si>
  <si>
    <t>0154244</t>
  </si>
  <si>
    <t>IMMUNINE</t>
  </si>
  <si>
    <t>0171966</t>
  </si>
  <si>
    <t>WILATE 1000</t>
  </si>
  <si>
    <t>0171965</t>
  </si>
  <si>
    <t>0173183</t>
  </si>
  <si>
    <t>0154245</t>
  </si>
  <si>
    <t>0212531</t>
  </si>
  <si>
    <t>0210993</t>
  </si>
  <si>
    <t>0209906</t>
  </si>
  <si>
    <t>0087199</t>
  </si>
  <si>
    <t>MAXIPIME</t>
  </si>
  <si>
    <t>0214076</t>
  </si>
  <si>
    <t>0087200</t>
  </si>
  <si>
    <t>0183826</t>
  </si>
  <si>
    <t>ACEFA</t>
  </si>
  <si>
    <t>0129838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</si>
  <si>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</si>
  <si>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</si>
  <si>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</si>
  <si>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</si>
  <si>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</si>
  <si>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</si>
  <si>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</si>
  <si>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0007957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</si>
  <si>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</si>
  <si>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</si>
  <si>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</si>
  <si>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</si>
  <si>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</si>
  <si>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</si>
  <si>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</si>
  <si>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</si>
  <si>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0307934</t>
  </si>
  <si>
    <t>Granulocyty z aferézy</t>
  </si>
  <si>
    <t>0407942</t>
  </si>
  <si>
    <t>Příplatek za ozáření</t>
  </si>
  <si>
    <t>0007964</t>
  </si>
  <si>
    <t>Erytrocyty z aferézy deleukotizované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</si>
  <si>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</si>
  <si>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</si>
  <si>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</si>
  <si>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</si>
  <si>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</si>
  <si>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</si>
  <si>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0001054</t>
  </si>
  <si>
    <t>0001699</t>
  </si>
  <si>
    <t>DRÁT CERKLÁŽNÍ OCEL</t>
  </si>
  <si>
    <t>0001719</t>
  </si>
  <si>
    <t>0001739</t>
  </si>
  <si>
    <t>DRÁT KIRSCHNERŮV OCEL</t>
  </si>
  <si>
    <t>0001740</t>
  </si>
  <si>
    <t>0001948</t>
  </si>
  <si>
    <t>ŠROUB SAMOŘEZNÝ KANYLOVANÝ OCEL</t>
  </si>
  <si>
    <t>0002425</t>
  </si>
  <si>
    <t>FIXÁTOR ZEVNÍ JEDNOROVIN./DVOUROVIN.TRUBKOVÝ,SYNTH</t>
  </si>
  <si>
    <t>0003008</t>
  </si>
  <si>
    <t>DLAHA ROVNÁ REKONSTRUKČNÍ PÁNEV MALÝ FRAGMENT OCEL</t>
  </si>
  <si>
    <t>0004070</t>
  </si>
  <si>
    <t>ŠROUB LCP A VA-LCP SAMOŘEZNÝ MALÝ FRAGMENT OCEL</t>
  </si>
  <si>
    <t>0004073</t>
  </si>
  <si>
    <t>0004077</t>
  </si>
  <si>
    <t>0004080</t>
  </si>
  <si>
    <t>0004085</t>
  </si>
  <si>
    <t>0005606</t>
  </si>
  <si>
    <t>NÁVLEK NA OPMI, TYP 71                      306071</t>
  </si>
  <si>
    <t>0010457</t>
  </si>
  <si>
    <t>ČEP SAMOŘEZNÝ JISTÍCÍ OCEL</t>
  </si>
  <si>
    <t>0010484</t>
  </si>
  <si>
    <t>0010678</t>
  </si>
  <si>
    <t>HŘEB STANDARDNÍ TIBIE OCEL TITAN</t>
  </si>
  <si>
    <t>0010767</t>
  </si>
  <si>
    <t>0010768</t>
  </si>
  <si>
    <t>0012683</t>
  </si>
  <si>
    <t>IMPLANTÁT MAXILLOFACIÁLNÍ</t>
  </si>
  <si>
    <t>0012715</t>
  </si>
  <si>
    <t>0012979</t>
  </si>
  <si>
    <t>STAPLER CIRKULÁRNÍ ZAHNUTÝ - CDH</t>
  </si>
  <si>
    <t>0012996</t>
  </si>
  <si>
    <t>ZÁSOBNÍK PRO STAPLER LIN. S NOŽEM - TCR,TVR,TRT 55</t>
  </si>
  <si>
    <t>0012999</t>
  </si>
  <si>
    <t>STAPLER LINEÁRNÍ S NOŽEM - TCT55; TLC55 (S PZT 001</t>
  </si>
  <si>
    <t>0013002</t>
  </si>
  <si>
    <t>STAPLER LINEÁRNÍ - TL60; TLH60 (S PZT 0013006)</t>
  </si>
  <si>
    <t>0013004</t>
  </si>
  <si>
    <t>STAPLER LINEÁRNÍ - TX60B; TX60G (S PZT 0053770)</t>
  </si>
  <si>
    <t>0013009</t>
  </si>
  <si>
    <t>ZÁSOBNÍK PRO STAPLER LIN S NOŽEM - (TCR/TRT/TRD)75</t>
  </si>
  <si>
    <t>0013010</t>
  </si>
  <si>
    <t xml:space="preserve">STAPLER LINEÁRNÍ S NOŽEM - TCT75; TLC75; TCD75 (S </t>
  </si>
  <si>
    <t>0017413</t>
  </si>
  <si>
    <t>ŠROUB SPONGIOZNÍ MALÝ FRAGMENT OCEL</t>
  </si>
  <si>
    <t>0017422</t>
  </si>
  <si>
    <t>ŠROUB KORTIKÁLNÍ VELKÝ FRAGMENT OCEL</t>
  </si>
  <si>
    <t>0017424</t>
  </si>
  <si>
    <t>0017486</t>
  </si>
  <si>
    <t>ŠROUB VELKÝ FRAGMENT MALEOLÁRNÍ OCEL</t>
  </si>
  <si>
    <t>0017745</t>
  </si>
  <si>
    <t>0017749</t>
  </si>
  <si>
    <t>0017751</t>
  </si>
  <si>
    <t>0024855</t>
  </si>
  <si>
    <t>ZASLEPOVACÍ HLAVA FEMUR TITAN</t>
  </si>
  <si>
    <t>0024889</t>
  </si>
  <si>
    <t>HŘEB FEMUR TITAN</t>
  </si>
  <si>
    <t>0027737</t>
  </si>
  <si>
    <t>DLAHA LCP ROVNÁ MALÝ FRAGMENT OCEL</t>
  </si>
  <si>
    <t>0027807</t>
  </si>
  <si>
    <t>DLAHA ROVNÁ LCP REKONSTRUKČNÍ MALÝ FRAGMENT OCEL</t>
  </si>
  <si>
    <t>0027816</t>
  </si>
  <si>
    <t>0028338</t>
  </si>
  <si>
    <t>SET RENÁLNÍ A NEFROSTOMICKÝ RE400740,400840,400940</t>
  </si>
  <si>
    <t>0028382</t>
  </si>
  <si>
    <t>SET RENÁLNÍ A NEFROSTOMICKÝ RE 440720</t>
  </si>
  <si>
    <t>0028411</t>
  </si>
  <si>
    <t>SET RENÁLNÍ A NEFROSTOMICKÝ RE 450105..106..110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</si>
  <si>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</si>
  <si>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</si>
  <si>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</si>
  <si>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</si>
  <si>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</si>
  <si>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</si>
  <si>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</si>
  <si>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0030462</t>
  </si>
  <si>
    <t>0030515</t>
  </si>
  <si>
    <t xml:space="preserve">ZÁSOBNÍK PRO LINEÁRNÍ STAPLER - TA PREMIUM 55-4.8 </t>
  </si>
  <si>
    <t>0030518</t>
  </si>
  <si>
    <t xml:space="preserve">ZÁSOBNÍK PRO LINEÁRNÍ STAPLER - TA PREMIUM 90-4.8 </t>
  </si>
  <si>
    <t>0030617</t>
  </si>
  <si>
    <t>STAPLER KOŽNÍ ROYAL - 35W</t>
  </si>
  <si>
    <t>0030724</t>
  </si>
  <si>
    <t>DLAHA LCP PATNÍ OCEL MALÝ FRAGMENT TITAN</t>
  </si>
  <si>
    <t>0031337</t>
  </si>
  <si>
    <t>0031437</t>
  </si>
  <si>
    <t>DLAHA LCP A VA-LCP HUMERUS DISTÁLNÍ MALÝ FRAGMENT</t>
  </si>
  <si>
    <t>0031469</t>
  </si>
  <si>
    <t>DLAHA LCP TIBIE PROXIMÁLNÍ OCEL MALÝ FRAGMENT TITA</t>
  </si>
  <si>
    <t>0031495</t>
  </si>
  <si>
    <t>DLAHA LCP FEMUR DISTÁLNÍ VELKÝ FRAGMENT OCEL TITAN</t>
  </si>
  <si>
    <t>0031933</t>
  </si>
  <si>
    <t>ZASLEPOVACÍ HLAVA TIBIE ÚHLOVĚ STABILNÍ TITAN</t>
  </si>
  <si>
    <t>0031983</t>
  </si>
  <si>
    <t>ŠROUB STARDRIVE ZAJIŠŤOVACÍ TITAN</t>
  </si>
  <si>
    <t>0034884</t>
  </si>
  <si>
    <t>0035016</t>
  </si>
  <si>
    <t>HŘEB TIBIE UHLOVĚ STABILNÍ TITAN</t>
  </si>
  <si>
    <t>0037145</t>
  </si>
  <si>
    <t>PROTÉZA GORE-TEX CÉVNÍ - PRUŽNÁ TENKOSTĚNNÁ</t>
  </si>
  <si>
    <t>0037174</t>
  </si>
  <si>
    <t>PROTÉZA GORE-TEX CÉVNÍ - PRUŽNÁ TENK.S ODSTR.KROUŽ</t>
  </si>
  <si>
    <t>0038482</t>
  </si>
  <si>
    <t>DRÁT VODÍCÍ GUIDE WIRE M</t>
  </si>
  <si>
    <t>0042251</t>
  </si>
  <si>
    <t>CEMENT KOSTNÍ COPAL G+C - 40 GENTAMICIN A CLINDAMY</t>
  </si>
  <si>
    <t>0042394</t>
  </si>
  <si>
    <t>ŠROUB KORTIKÁLNÍ HEXA DRIVE 7, APTUS RADIUS 2,5</t>
  </si>
  <si>
    <t>0043984</t>
  </si>
  <si>
    <t>ČIDLO PRO MĚŘENÍ NITROLEBNÍHO TLAKU NEUROVENT</t>
  </si>
  <si>
    <t>0046612</t>
  </si>
  <si>
    <t>DRÁT VODÍCÍ LUNDERQUIST RE-420780..180..380</t>
  </si>
  <si>
    <t>0046894</t>
  </si>
  <si>
    <t>PROTÉZA CÉVNÍ GELSOFT PLUS DÉLKA 30/25 CM</t>
  </si>
  <si>
    <t>0046896</t>
  </si>
  <si>
    <t>PROTÉZA CÉVNÍ GELSOFT PLUS DÉLKA 15 CM</t>
  </si>
  <si>
    <t>0046898</t>
  </si>
  <si>
    <t>PROTÉZA CÉVNÍ BIF.GELSOFT PLUS DÉLKA 45CM</t>
  </si>
  <si>
    <t>0048989</t>
  </si>
  <si>
    <t>ELEKTRODA KOAGULAČNÍ JEDNORÁZOVÁ GN211</t>
  </si>
  <si>
    <t>0049489</t>
  </si>
  <si>
    <t>ZÁSOBNÍK PRO ENDOSTAPLER - ECHELON ENDOPATH 45/60;</t>
  </si>
  <si>
    <t>0051334</t>
  </si>
  <si>
    <t>KATETR URETERÁLNÍ,POLLACK,FLEXI-TIP U-021305</t>
  </si>
  <si>
    <t>0051607</t>
  </si>
  <si>
    <t>SADA GASTROSTOMICKÁ - PEG</t>
  </si>
  <si>
    <t>0051735</t>
  </si>
  <si>
    <t>SHUNT KAROTICKÝ PŘÍMÝ</t>
  </si>
  <si>
    <t>0051990</t>
  </si>
  <si>
    <t>KATETR URETER.PŘÍMÉ OLIV.,FLÉT.,CYL. ZAK.- AC50..5</t>
  </si>
  <si>
    <t>0052143</t>
  </si>
  <si>
    <t>EXTRAKTOR - AMPLATZ GOOSE NECK GNXXXX - PERIFERNÍ,</t>
  </si>
  <si>
    <t>0052832</t>
  </si>
  <si>
    <t>STENT PERIFERNÍ URETERÁLNÍ OPTIPUR,POLYURETAN</t>
  </si>
  <si>
    <t>0052834</t>
  </si>
  <si>
    <t>STENT PERIFERNÍ URETERÁLNÍ OPTIMED,POLYURETAN</t>
  </si>
  <si>
    <t>0053772</t>
  </si>
  <si>
    <t>STAPLER LINEÁRNÍ S NOŽEM - TCT10; TLC10 (S PZT 005</t>
  </si>
  <si>
    <t>0053774</t>
  </si>
  <si>
    <t>ZÁSOBNÍK PRO STAPLER LINEÁRNÍ S NOŽEM - TRT10,TCR1</t>
  </si>
  <si>
    <t>0053801</t>
  </si>
  <si>
    <t>ECMO - OXYGENÁTOR,PLS-SYSTÉM DLOUHODOBÉ ŽIVOTNÍ PO</t>
  </si>
  <si>
    <t>0056288</t>
  </si>
  <si>
    <t>KATETR BALÓNKOVÝ FOGARTY EMBOLEKTOMICKÝ - 120403F</t>
  </si>
  <si>
    <t>0056289</t>
  </si>
  <si>
    <t>KATETR BALÓNKOVÝ FOGARTY EMBOLEKTOMICKÝ - 120803F</t>
  </si>
  <si>
    <t>0056290</t>
  </si>
  <si>
    <t>KATETR BALÓNKOVÝ FOGARTY EMBOLEKTOMICKÝ - 120404F</t>
  </si>
  <si>
    <t>0056291</t>
  </si>
  <si>
    <t>KATETR BALÓNKOVÝ FOGARTY EMBOLEKTOMICKÝ - 120804F</t>
  </si>
  <si>
    <t>0056292</t>
  </si>
  <si>
    <t>KATETR BALÓNKOVÝ FOGARTY EMBOLEKTOMICKÝ - 120805F</t>
  </si>
  <si>
    <t>0056293</t>
  </si>
  <si>
    <t>KATETR BALÓNKOVÝ FOGARTY EMBOLEKTOMICKÝ - 120806F</t>
  </si>
  <si>
    <t>0056301</t>
  </si>
  <si>
    <t>KATETR BALÓNKOVÝ FOGARTY EMBOLEKTOMICKÝ - TRU-LUME</t>
  </si>
  <si>
    <t>0056306</t>
  </si>
  <si>
    <t>KATETR BALÓNKOVÝ FOGARTY OKLUZNÍ - 620405F</t>
  </si>
  <si>
    <t>0056311</t>
  </si>
  <si>
    <t>KATETR BALÓNKOVÝ FOGARTY - 1408010</t>
  </si>
  <si>
    <t>0058371</t>
  </si>
  <si>
    <t>CHOLECYSTEKTOMIE PROSTÁ DRG 90818</t>
  </si>
  <si>
    <t>0058622</t>
  </si>
  <si>
    <t>STENT PERIFERNÍ URETERÁLNÍ WHITE STAR STENOSIS</t>
  </si>
  <si>
    <t>0058756</t>
  </si>
  <si>
    <t>VODIČ DRÁTĚNÝ ROADRUNNER</t>
  </si>
  <si>
    <t>0067020</t>
  </si>
  <si>
    <t xml:space="preserve">IMPLANTÁT SPINÁLNÍ SYSTÉM CERVIFIX                </t>
  </si>
  <si>
    <t>0067160</t>
  </si>
  <si>
    <t>IMPLANTÁT ORBITÁLNÍ PDS ZX3,ZX4,ZX7 VSTŘEBATELNÝ</t>
  </si>
  <si>
    <t>0067415</t>
  </si>
  <si>
    <t xml:space="preserve">IMPLANTÁT SPINÁLNÍ SYSTÉM CASPAR                  </t>
  </si>
  <si>
    <t>0067418</t>
  </si>
  <si>
    <t>0067537</t>
  </si>
  <si>
    <t>IMPLANTÁT SPINÁLNÍ SYSTÉM CASPAR,KRČNÍ,PŘEDNÍ PŘÍS</t>
  </si>
  <si>
    <t>0067891</t>
  </si>
  <si>
    <t>IMPLANTÁT SPINÁL.NÁHRADA MEZIOBRATLOVÁ FUSION    K</t>
  </si>
  <si>
    <t>0068666</t>
  </si>
  <si>
    <t>IMPLANTÁT SPINÁLNÍ SYSTÉM VECTRA                 K</t>
  </si>
  <si>
    <t>0068670</t>
  </si>
  <si>
    <t>0069212</t>
  </si>
  <si>
    <t>IMPLANTÁT SPINÁLNÍ SYSTÉM EXPEDIUM FIXAČNÍ ANTERIO</t>
  </si>
  <si>
    <t>0069215</t>
  </si>
  <si>
    <t>0069216</t>
  </si>
  <si>
    <t xml:space="preserve">IMPLANTÁT SPINÁLNÍ SYSTÉM EXPEDIUM FIXAČNÍ        </t>
  </si>
  <si>
    <t>0069500</t>
  </si>
  <si>
    <t>KANYLA TRACHEOSTOMICKÁ S NÍZKOTLAKOU MANŽETOU</t>
  </si>
  <si>
    <t>KANYLA TRACHEOSTOMICKÁ  S NÍZKOTLAKOU  MANŽETOU</t>
  </si>
  <si>
    <t>0070875</t>
  </si>
  <si>
    <t>ČEP SAMOŘEZNÝ JISTÍCÍ TITAN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</si>
  <si>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</si>
  <si>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</si>
  <si>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</si>
  <si>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</si>
  <si>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</si>
  <si>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</si>
  <si>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0071596</t>
  </si>
  <si>
    <t>FIXÁTOR HYBRIDNÍ KRUHOVÝ, PROX./DIST.TIBIE/DIST.FE</t>
  </si>
  <si>
    <t>0071602</t>
  </si>
  <si>
    <t>FIXÁTOR ZEVNÍ JEDNOROVIN./DVOUROVIN.TRUBKOVÝ SYNTH</t>
  </si>
  <si>
    <t>0073578</t>
  </si>
  <si>
    <t>ŠROUB SAMOŘEZNÝ KORTIKÁLNÍ MINI FRAGMENT TITAN</t>
  </si>
  <si>
    <t>0073660</t>
  </si>
  <si>
    <t>0073679</t>
  </si>
  <si>
    <t>0074312</t>
  </si>
  <si>
    <t>ŠROUB KOMPRESNÍ ZAVÍRACÍ TARGON</t>
  </si>
  <si>
    <t>0074314</t>
  </si>
  <si>
    <t>ŠROUB ZAJIŠŤOVACÍ  TITANOVÝ TARGON</t>
  </si>
  <si>
    <t>0074317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</si>
  <si>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</si>
  <si>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</si>
  <si>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</si>
  <si>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</si>
  <si>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</si>
  <si>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</si>
  <si>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0077759</t>
  </si>
  <si>
    <t>HŘEB HUMERÁLNÍ PROXIMÁLNÍ NITRODŘEŇOVÝ TITANOVÝ TA</t>
  </si>
  <si>
    <t>0077760</t>
  </si>
  <si>
    <t>HŘEB HUMERÁLNÍ NITRODŘEŇOVÝ TITANOVÝ TARGON H</t>
  </si>
  <si>
    <t>0077761</t>
  </si>
  <si>
    <t>ŠROUB ZAJIŠŤOVACÍ  TITANOVÝ TARGON PH/H</t>
  </si>
  <si>
    <t>0077762</t>
  </si>
  <si>
    <t>0082000</t>
  </si>
  <si>
    <t>NPWT-V.A.C. GRANUFOAM (PU PĚNA) VELIKOST M</t>
  </si>
  <si>
    <t>0082079</t>
  </si>
  <si>
    <t>KRYTÍ COM 30 OBVAZOVÁ TEXTÍLIE KOMBINOVANÁ</t>
  </si>
  <si>
    <t>0082153</t>
  </si>
  <si>
    <t>NPWT-FÓLIE KRYCÍ</t>
  </si>
  <si>
    <t>0083073</t>
  </si>
  <si>
    <t>ŠROUB STARDRIVE LATERÁLNÍ TITAN</t>
  </si>
  <si>
    <t>0083205</t>
  </si>
  <si>
    <t>DLAHA LCP PÁNEV SYMFÝZA OCEL</t>
  </si>
  <si>
    <t>0083212</t>
  </si>
  <si>
    <t>DLAHA LCP NIZKOPROFILOVÁ  REKONSTRUKČNÍ PÁNEV OCEL</t>
  </si>
  <si>
    <t>0083217</t>
  </si>
  <si>
    <t>0083233</t>
  </si>
  <si>
    <t>DLAHA LCP TIBIE DISTÁLNÍ MEDIÁLNÍ MALÝ FRAGMENT OC</t>
  </si>
  <si>
    <t>0083241</t>
  </si>
  <si>
    <t>DLAHA LCP A VA-LCP OLEKRANON MALÝ FRAGMENT OCEL TI</t>
  </si>
  <si>
    <t>0083991</t>
  </si>
  <si>
    <t>ŠROUB ZAMYKACÍ HEXA DRIVE 7, APTUS RADIUS 2,5</t>
  </si>
  <si>
    <t>0083992</t>
  </si>
  <si>
    <t>0091802</t>
  </si>
  <si>
    <t>IMPLANTÁT KOSTNÍ UMĚLÁ NÁHRADA ŠTĚPU  CHRONOS STRI</t>
  </si>
  <si>
    <t>0092078</t>
  </si>
  <si>
    <t>STAPLER LINEÁRNÍ S NOŽEM - CONTOUR; ZAHNUTÝ, NÍZKÁ</t>
  </si>
  <si>
    <t>0092079</t>
  </si>
  <si>
    <t>ZÁSOBNÍK PRO LINEÁRNÍ STAPLER - CR40B,CR40G (PRO P</t>
  </si>
  <si>
    <t>0097790</t>
  </si>
  <si>
    <t>DLAHA LCP HUMERUS DISTÁLNÍ MALÝ FRAGMENT TITAN</t>
  </si>
  <si>
    <t>0097804</t>
  </si>
  <si>
    <t>0097808</t>
  </si>
  <si>
    <t>ŠROUB LCP SAMOŘEZNÝ MALÝ FRAGMNET TITAN</t>
  </si>
  <si>
    <t>0097876</t>
  </si>
  <si>
    <t>PODLOŽKA MALÝ FRAGMENT TITAN</t>
  </si>
  <si>
    <t>0098656</t>
  </si>
  <si>
    <t>ŠROUB KANYLOVANÝ TI T-DRIVE</t>
  </si>
  <si>
    <t>0098685</t>
  </si>
  <si>
    <t>PODLOŽKA TI</t>
  </si>
  <si>
    <t>0099076</t>
  </si>
  <si>
    <t>HŘEB FEMORÁLNÍ PROXIMÁLNÍ, TI</t>
  </si>
  <si>
    <t>0099080</t>
  </si>
  <si>
    <t>ZÁSLEPKA, TI</t>
  </si>
  <si>
    <t>0099081</t>
  </si>
  <si>
    <t>ŠROUB KOTVÍCÍ, TI</t>
  </si>
  <si>
    <t>0099484</t>
  </si>
  <si>
    <t>ŠROUB ZAJIŠŤ.,PLNÝ ZÁVIT,PR. 5MM, TI</t>
  </si>
  <si>
    <t>0099754</t>
  </si>
  <si>
    <t>0099756</t>
  </si>
  <si>
    <t>HŘEB KANYLOVANÝ FEMUR LATERÁLNÍ TITAN</t>
  </si>
  <si>
    <t>0099934</t>
  </si>
  <si>
    <t>ŠROUB SAMOVRTNÝ KANYLOVANÝ VELKÝ FRAGMENT TITAN</t>
  </si>
  <si>
    <t>0108142</t>
  </si>
  <si>
    <t>DLAHA VOLÁRNÍ WATERSHED, APTUS RADIUS 2,5</t>
  </si>
  <si>
    <t>0108143</t>
  </si>
  <si>
    <t>DLAHA VOLÁRNÍ WATERSHED, DLOUHÁ, APTUS RADIUS 2,5</t>
  </si>
  <si>
    <t>0108764</t>
  </si>
  <si>
    <t>DLAHA LCP FIBULA DISTÁLNÍ MALÝ FRAGMENT OCEL TITAN</t>
  </si>
  <si>
    <t>0112074</t>
  </si>
  <si>
    <t>CEMENT KOSTNÍ VANCOGENX VANCOMYCIN+GENTAMICIN 1X40</t>
  </si>
  <si>
    <t>0163241</t>
  </si>
  <si>
    <t xml:space="preserve">IMPLANTÁT MAXILLOFACIÁLNÍ STŘEDNÍ OBLIČEJOVÁ ETÁŽ </t>
  </si>
  <si>
    <t>0163243</t>
  </si>
  <si>
    <t>0163244</t>
  </si>
  <si>
    <t>0163249</t>
  </si>
  <si>
    <t>0163251</t>
  </si>
  <si>
    <t>0163258</t>
  </si>
  <si>
    <t>0163261</t>
  </si>
  <si>
    <t>0163264</t>
  </si>
  <si>
    <t>0163266</t>
  </si>
  <si>
    <t>0013054</t>
  </si>
  <si>
    <t>STAPLER KOŽNÍ, 35 NEREZ.OCEL. NÁPLNÍ PMW35,PMR35</t>
  </si>
  <si>
    <t>0031475</t>
  </si>
  <si>
    <t>DLAHA LCP MALÝ FRAGMENT OCEL</t>
  </si>
  <si>
    <t>0031490</t>
  </si>
  <si>
    <t>DLAHA LCP TIBIE PROXIMÁLNÍ VELKÝ FRAGMENT OCEL TIT</t>
  </si>
  <si>
    <t>0062220</t>
  </si>
  <si>
    <t>SÍŤKA KÝLNÍ VICRYL VSTŘEBATELNÁ EXTRAPERITONEÁLNÍ</t>
  </si>
  <si>
    <t>0097835</t>
  </si>
  <si>
    <t>DRÁT VODÍCÍ</t>
  </si>
  <si>
    <t>0111959</t>
  </si>
  <si>
    <t>DLAHA PRO DISTÁLNÍ ULNU, APTUS RADIUS 2,5</t>
  </si>
  <si>
    <t>0083990</t>
  </si>
  <si>
    <t>0073963</t>
  </si>
  <si>
    <t>ŠROUB SAMOŘEZNÝ KORTIKÁLNÍ PÁNEV OCEL</t>
  </si>
  <si>
    <t>0001974</t>
  </si>
  <si>
    <t>PODLOŽKA SPONGIOZNÍ OCEL</t>
  </si>
  <si>
    <t>0099483</t>
  </si>
  <si>
    <t>ŠROUB KONDYLÁRNÍ PR. 5MM, TI</t>
  </si>
  <si>
    <t>0001223</t>
  </si>
  <si>
    <t>ŠROUB SAMOŘEZNÝ KORTIKÁLNÍ RUKA OCEL</t>
  </si>
  <si>
    <t>0042396</t>
  </si>
  <si>
    <t>0082145</t>
  </si>
  <si>
    <t>NPWT-RENASYS GO SBĚRNÁ NÁDOBA MALÁ</t>
  </si>
  <si>
    <t>0097802</t>
  </si>
  <si>
    <t>DLAHA LCP HUMERUS DISTÁLNÍ MALÝ FRAGMENT OCEL TITA</t>
  </si>
  <si>
    <t>0081995</t>
  </si>
  <si>
    <t>NPWT-RENASYS EZ SBĚRNÁ NÁDOBA VELKÁ</t>
  </si>
  <si>
    <t>0017747</t>
  </si>
  <si>
    <t>0046895</t>
  </si>
  <si>
    <t>PROTÉZA CÉVNÍ GELSOFT PLUS DÉLKA 25 CM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</si>
  <si>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</si>
  <si>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</si>
  <si>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</si>
  <si>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</si>
  <si>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</si>
  <si>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</si>
  <si>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0083883</t>
  </si>
  <si>
    <t>HŘEB PRO RADIUS / ULNU, TITANOVÝ</t>
  </si>
  <si>
    <t>0082142</t>
  </si>
  <si>
    <t>NPWT-RENASYS F PŘEVAZOVÝ SET STŘEDNÍ M</t>
  </si>
  <si>
    <t>0054443</t>
  </si>
  <si>
    <t>OBĚH MIMOTĚLNÍ - OXYGENÁTOR-SADA PŘÍSLUŠENSTVÍ,ECM</t>
  </si>
  <si>
    <t>0099077</t>
  </si>
  <si>
    <t>HŘEB FEMORÁLNÍ PROXIMÁLNÍ DLOUHÝ L/R, TI</t>
  </si>
  <si>
    <t>0042395</t>
  </si>
  <si>
    <t>0083256</t>
  </si>
  <si>
    <t>DLAHA LCP TIBIE PROXIMÁLNÍ MALÝ FRAGMENT OCEL TITA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</si>
  <si>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</si>
  <si>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</si>
  <si>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</si>
  <si>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</si>
  <si>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</si>
  <si>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</si>
  <si>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</si>
  <si>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</si>
  <si>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0019159</t>
  </si>
  <si>
    <t>DLAHA PRO ŽEBRA</t>
  </si>
  <si>
    <t>0073264</t>
  </si>
  <si>
    <t>K-DRÁT MEDIN</t>
  </si>
  <si>
    <t>0114292</t>
  </si>
  <si>
    <t>IMPLANTÁT SPINÁL.NÁHRADA MEZIOBRATL. FUSION CAGE K</t>
  </si>
  <si>
    <t>0043968</t>
  </si>
  <si>
    <t>0002263</t>
  </si>
  <si>
    <t>FIXÁTOR ZEVNÍ JEDNOROVINNÝ TUBULÁRNÍ,SYNTHES KOSTI</t>
  </si>
  <si>
    <t>0107930</t>
  </si>
  <si>
    <t>ŠROUB CHARLOTTE FIXACE NOHY</t>
  </si>
  <si>
    <t>0097742</t>
  </si>
  <si>
    <t>DLAHA LCP HUMERUS PROXIMÁLNÍ MALÝ FRAGMENT OCEL</t>
  </si>
  <si>
    <t>0152127</t>
  </si>
  <si>
    <t>STAPLER LINEÁRNÍ S NOŽEM - LC6045 (PRO PZT 0152133</t>
  </si>
  <si>
    <t>0152130</t>
  </si>
  <si>
    <t>STAPLER LINEÁRNÍ S NOŽEM - LC8045 (PRO PZT 0152134</t>
  </si>
  <si>
    <t>0049483</t>
  </si>
  <si>
    <t>0107767</t>
  </si>
  <si>
    <t>K-DRÁT 150X09MM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</si>
  <si>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</si>
  <si>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</si>
  <si>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</si>
  <si>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</si>
  <si>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</si>
  <si>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0142062</t>
  </si>
  <si>
    <t>0114288</t>
  </si>
  <si>
    <t>0114289</t>
  </si>
  <si>
    <t>0001344</t>
  </si>
  <si>
    <t>DRÁT VODÍCÍ ZÁVITOVÝ OCEL</t>
  </si>
  <si>
    <t>0142096</t>
  </si>
  <si>
    <t>0142063</t>
  </si>
  <si>
    <t>0142097</t>
  </si>
  <si>
    <t>0005601</t>
  </si>
  <si>
    <t>NÁVLEK NA OPMI, TYP 18                      326018</t>
  </si>
  <si>
    <t>0052079</t>
  </si>
  <si>
    <t>ZAVADĚČ VENÓZNÍ</t>
  </si>
  <si>
    <t>0142105</t>
  </si>
  <si>
    <t>0142054</t>
  </si>
  <si>
    <t xml:space="preserve">IMPLANTÁT KRANIOFACIÁLNÍ LA FÓRTE SYSTÉM, SLITINA </t>
  </si>
  <si>
    <t>0169472</t>
  </si>
  <si>
    <t>NPWT-SET PRO PODTLAK.TERAPII RENASYS-F/AB ABDOMINA</t>
  </si>
  <si>
    <t>0170138</t>
  </si>
  <si>
    <t>NPWT-RENASYS MĚKKÝ PORT</t>
  </si>
  <si>
    <t>0163216</t>
  </si>
  <si>
    <t>IMPLANTÁT KRANIOFACIÁLNÍ LA FÓRTE SYSTÉM</t>
  </si>
  <si>
    <t>0081999</t>
  </si>
  <si>
    <t>NPWT-V.A.C. GRANUFOAM (PU PĚNA) VELIKOST S</t>
  </si>
  <si>
    <t>0081996</t>
  </si>
  <si>
    <t>NPWT-RENASYS Y KONEKTOR</t>
  </si>
  <si>
    <t>0053393</t>
  </si>
  <si>
    <t>DRÁT VODÍCÍ HYDROFILNÍ P18 150H,P25 150H,P32 150H,</t>
  </si>
  <si>
    <t>0060617</t>
  </si>
  <si>
    <t>IMPLANTÁT KRANIOMAXILLOFACIÁLNÍ TI</t>
  </si>
  <si>
    <t>00651</t>
  </si>
  <si>
    <t>OD TYPU 51 - PRO NEMOCNICE TYPU 3, (KATEGORIE 6) -</t>
  </si>
  <si>
    <t>00655</t>
  </si>
  <si>
    <t>OD TYPU 55 - PRO NEMOCNICE TYPU 3, (KATEGORIE 6) -</t>
  </si>
  <si>
    <t>11505</t>
  </si>
  <si>
    <t>SPECIÁLNÍ PARENTERÁLNÍ VÝŽIVA</t>
  </si>
  <si>
    <t xml:space="preserve">SPECIÁLNÍ PARENTERÁLNÍ VÝŽIVA                     </t>
  </si>
  <si>
    <t>11506</t>
  </si>
  <si>
    <t xml:space="preserve">PLNOHODNOTNÁ PARENTERÁLNÍ VÝŽIVA                  </t>
  </si>
  <si>
    <t>51022</t>
  </si>
  <si>
    <t xml:space="preserve">CÍLENÉ VYŠETŘENÍ CHIRURGEM                        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</si>
  <si>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</si>
  <si>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</si>
  <si>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</si>
  <si>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</si>
  <si>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</si>
  <si>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</si>
  <si>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</si>
  <si>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</si>
  <si>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</si>
  <si>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</si>
  <si>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90906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</si>
  <si>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</si>
  <si>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</si>
  <si>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</si>
  <si>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</si>
  <si>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</si>
  <si>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</si>
  <si>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</si>
  <si>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</si>
  <si>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</si>
  <si>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</si>
  <si>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</si>
  <si>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</si>
  <si>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</si>
  <si>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</si>
  <si>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</si>
  <si>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</si>
  <si>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</si>
  <si>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</si>
  <si>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</si>
  <si>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</si>
  <si>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56413</t>
  </si>
  <si>
    <t>MIKROCHIRURGICKÁ SUTURA NERVU PŘÍMÁ BEZ AUTOTRANSP</t>
  </si>
  <si>
    <t>61113</t>
  </si>
  <si>
    <t xml:space="preserve">REVIZE, EXCIZE A SUTURA PORANĚNÍ KŮŽE A PODKOŽÍ A </t>
  </si>
  <si>
    <t>61137</t>
  </si>
  <si>
    <t>ODBĚR FASCIÁLNÍHO ŠTĚPU Z FASCIA LATA</t>
  </si>
  <si>
    <t>61143</t>
  </si>
  <si>
    <t>ODBĚR CÉVNÍHO ŠTĚPU MALÉHO KALIBRU (PRO MIKROCHIRU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</si>
  <si>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</si>
  <si>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</si>
  <si>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</si>
  <si>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</si>
  <si>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61247</t>
  </si>
  <si>
    <t>OPERACE KARPÁLNÍHO TUNELU</t>
  </si>
  <si>
    <t>71823</t>
  </si>
  <si>
    <t>POUŽITÍ MIKROSKOPU PŘI OPERAČNÍM VÝKONU Á 10 MINUT</t>
  </si>
  <si>
    <t>09233</t>
  </si>
  <si>
    <t xml:space="preserve">INJEKČNÍ OKRSKOVÁ ANESTÉZIE                       </t>
  </si>
  <si>
    <t>INJEKČNÍ OKRSKOVÁ ANESTÉZIE</t>
  </si>
  <si>
    <t>61115</t>
  </si>
  <si>
    <t xml:space="preserve">INCIZE A DRENÁŽ ABSCESU NEBO HEMATOMU             </t>
  </si>
  <si>
    <t>62710</t>
  </si>
  <si>
    <t>SÍŤOVÁNÍ (MESHOVÁNÍ) ŠTĚPU DO ROZSAHU 5 % Z POVRCH</t>
  </si>
  <si>
    <t xml:space="preserve">NEKREKTOMIE DO 1% POVRCHU TĚLA                    </t>
  </si>
  <si>
    <t>62410</t>
  </si>
  <si>
    <t>ŠTĚP PŘI POPÁLENÍ - DLAŇ, DORSUM RUKY, NOHY NEBO D</t>
  </si>
  <si>
    <t>61151</t>
  </si>
  <si>
    <t>UZAVŘENÍ DEFEKTU KOŽNÍM LALOKEM MÍSTNÍM NAD 20 CM^</t>
  </si>
  <si>
    <t>62610</t>
  </si>
  <si>
    <t>ODBĚR DERMOEPIDERMÁLNÍHO ŠTĚPU DO 1 % POVRCHU TĚLA</t>
  </si>
  <si>
    <t>61165</t>
  </si>
  <si>
    <t xml:space="preserve">ROZPROSTŘENÍ NEBO MODELACE LALOKU                 </t>
  </si>
  <si>
    <t>ROZPROSTŘENÍ NEBO MODELACE LALOKU</t>
  </si>
  <si>
    <t>53517</t>
  </si>
  <si>
    <t>SUTURA NEBO REINSERCE ŠLACHY FLEXORU RUKY A ZÁPĚST</t>
  </si>
  <si>
    <t>61121</t>
  </si>
  <si>
    <t>CÉVNÍ ANASTOMOSA MIKROCHIRURGICKOU TECHNIKOU</t>
  </si>
  <si>
    <t xml:space="preserve">CÉVNÍ ANASTOMOSA MIKROCHIRURGICKOU TECHNIKOU      </t>
  </si>
  <si>
    <t>66411</t>
  </si>
  <si>
    <t>AMPUTACE PRSTU RUKY NEBO ČLÁNKU PRSTU - ZA PRVNÍ P</t>
  </si>
  <si>
    <t>62660</t>
  </si>
  <si>
    <t xml:space="preserve">ODBĚR DERMOEPIDERMÁLNÍHO ŠTĚPU: 5 - 10 % Z PLOCHY </t>
  </si>
  <si>
    <t>62460</t>
  </si>
  <si>
    <t>ŠTĚP PŘI POPÁLENÍ (A OSTATNCH KOŽNÍCH ZTRÁTÁCH), 5</t>
  </si>
  <si>
    <t>62720</t>
  </si>
  <si>
    <t>SÍŤOVÁNÍ (MESHOVÁNÍ) ŠTĚPU NAD 5 % DO 20 % POVRCHU</t>
  </si>
  <si>
    <t>90959</t>
  </si>
  <si>
    <t xml:space="preserve">(DRG) ÚPRAVA ŽILNÍHO NEBO TEPENNÉHO ALOŠTĚPU      </t>
  </si>
  <si>
    <t>6F3</t>
  </si>
  <si>
    <t>6F5</t>
  </si>
  <si>
    <t>04400</t>
  </si>
  <si>
    <t xml:space="preserve">SVODNÁ ANESTEZIE                                  </t>
  </si>
  <si>
    <t>04410</t>
  </si>
  <si>
    <t xml:space="preserve">INJEKČNÍ  ANESTESIE                               </t>
  </si>
  <si>
    <t>04801</t>
  </si>
  <si>
    <t>ZEVNÍ INCISE</t>
  </si>
  <si>
    <t xml:space="preserve">ZEVNÍ INCISE                                      </t>
  </si>
  <si>
    <t>04825</t>
  </si>
  <si>
    <t>REPOZICE SUBLUX. ZUBU ČI FRAKTURY ALVEOLU, SEXT.</t>
  </si>
  <si>
    <t>04830</t>
  </si>
  <si>
    <t xml:space="preserve">SUTURA RÁNY SLIZNICE DO 5 CM, 1 VRSTVA            </t>
  </si>
  <si>
    <t>04831</t>
  </si>
  <si>
    <t xml:space="preserve">SUTURA RÁNY SLIZNICE NAD 5 CM NEBO VÍCE VRSTEV    </t>
  </si>
  <si>
    <t>04860</t>
  </si>
  <si>
    <t xml:space="preserve">IMOBILIZACE ČELISTÍ                               </t>
  </si>
  <si>
    <t>IMOBILIZACE ČELISTÍ</t>
  </si>
  <si>
    <t>65219</t>
  </si>
  <si>
    <t xml:space="preserve">KOMPLEXNÍ OŠETŘENÍ VĚTŠÍCH OBLIČEJOVÝCH DEFEKTŮ   </t>
  </si>
  <si>
    <t>KOMPLEXNÍ OŠETŘENÍ VĚTŠÍCH OBLIČEJOVÝCH DEFEKTŮ</t>
  </si>
  <si>
    <t>65613</t>
  </si>
  <si>
    <t xml:space="preserve">EXCIZE LÉZE V ÚSTNÍ DUTINĚ - OD 2 CM DO 4 CM      </t>
  </si>
  <si>
    <t>65949</t>
  </si>
  <si>
    <t xml:space="preserve">OŠETŘENÍ KOLEMČELISTNÍHO ZÁNĚTU A DRENÁŽ          </t>
  </si>
  <si>
    <t>OŠETŘENÍ KOLEMČELISTNÍHO ZÁNĚTU A DRENÁŽ</t>
  </si>
  <si>
    <t>71653</t>
  </si>
  <si>
    <t xml:space="preserve">ZAVŘENÁ REPOZICE FRAKTURY KŮSTEK NOSNÍCH          </t>
  </si>
  <si>
    <t>65211</t>
  </si>
  <si>
    <t>OŠETŘENÍ ZLOMENINY ČELISTI DESTIČKOVOU ŠROUBOVANOU</t>
  </si>
  <si>
    <t>65935</t>
  </si>
  <si>
    <t xml:space="preserve">REPOZICE A FIXACE ZLOMENINY ZYGOMATIKOMAXILÁRNÍHO 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</si>
  <si>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</si>
  <si>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</si>
  <si>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</si>
  <si>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</si>
  <si>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</si>
  <si>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 xml:space="preserve">REKOSTRUKCE SPODINY OČNICE                        </t>
  </si>
  <si>
    <t>REKOSTRUKCE SPODINY OČNICE</t>
  </si>
  <si>
    <t>65611</t>
  </si>
  <si>
    <t>EXCIZE LÉZE V DUTINĚ ÚSTNÍ NAD 4 CM</t>
  </si>
  <si>
    <t>6F6</t>
  </si>
  <si>
    <t>66623</t>
  </si>
  <si>
    <t xml:space="preserve">PROSTÁ EXTRAKCE ENDOPROTÉZY - CEMENTOVANÉ         </t>
  </si>
  <si>
    <t>PROSTÁ EXTRAKCE ENDOPROTÉZY - CEMENTOVANÉ</t>
  </si>
  <si>
    <t>66659</t>
  </si>
  <si>
    <t>SYNOVEKTOMIE KOLENA A DALŠÍCH VELKÝCH KLOUBŮ</t>
  </si>
  <si>
    <t>66919</t>
  </si>
  <si>
    <t>SEKVESTROTOMIE</t>
  </si>
  <si>
    <t>09567</t>
  </si>
  <si>
    <t xml:space="preserve">(VZP) ZÁKROK NA LEVÉ STRANĚ                       </t>
  </si>
  <si>
    <t>(VZP) ZÁKROK NA LEVÉ STRANĚ</t>
  </si>
  <si>
    <t>66855</t>
  </si>
  <si>
    <t>INCIZE A DRENÁŽ MĚKKÝCH TKÁNÍ V ORTOPEDII</t>
  </si>
  <si>
    <t>66869</t>
  </si>
  <si>
    <t xml:space="preserve">EXCIZE A EXSTIRPACE SVALOVÉ - ROZSÁHLÉ - TAKÉ PRO </t>
  </si>
  <si>
    <t>708</t>
  </si>
  <si>
    <t>71719</t>
  </si>
  <si>
    <t>VÝMĚNA TRACHEOSTOMICKÉ KANYLY</t>
  </si>
  <si>
    <t>7F1</t>
  </si>
  <si>
    <t>71213</t>
  </si>
  <si>
    <t>ENDOSKOPIE PARANASÁLNÍ DUTINY</t>
  </si>
  <si>
    <t>71311</t>
  </si>
  <si>
    <t xml:space="preserve">LARYNGOSKOPIE PŘÍMÁ                               </t>
  </si>
  <si>
    <t>LARYNGOSKOPIE PŘÍMÁ</t>
  </si>
  <si>
    <t>71313</t>
  </si>
  <si>
    <t>NEPŘÍMÁ LARYNGOSKOPIE ZVĚTŠOVACÍ ENDOSKOPICKOU OPT</t>
  </si>
  <si>
    <t>71537</t>
  </si>
  <si>
    <t xml:space="preserve">MASTOIDEKTOMIE                                    </t>
  </si>
  <si>
    <t>71741</t>
  </si>
  <si>
    <t xml:space="preserve">LARYNGOPLASTIKA, TRACHEOPLASTIKA                  </t>
  </si>
  <si>
    <t xml:space="preserve">ČÁSTEČNÁ EXSTIRPACE KRČNÍCH UZLIN                 </t>
  </si>
  <si>
    <t>71751</t>
  </si>
  <si>
    <t xml:space="preserve">EXENTERACE KRČNÍCH UZLIN JEDNOSTRANNÁ             </t>
  </si>
  <si>
    <t>71763</t>
  </si>
  <si>
    <t xml:space="preserve">TONZILEKTOMIE                                     </t>
  </si>
  <si>
    <t>TONZILEKTOMIE</t>
  </si>
  <si>
    <t>71811</t>
  </si>
  <si>
    <t xml:space="preserve">LIGATURA A. CAROTIS EXT.                          </t>
  </si>
  <si>
    <t xml:space="preserve">VÝMĚNA TRACHEOSTOMICKÉ KANYLY                     </t>
  </si>
  <si>
    <t>71749</t>
  </si>
  <si>
    <t>BLOKOVÁ DISEKCE KRČNÍCH UZLIN</t>
  </si>
  <si>
    <t>76801</t>
  </si>
  <si>
    <t>POUŽITÍ TELEVIZNÍHO ŘETĚZCE PŘI ENDOSKOPICKÉM VÝKO</t>
  </si>
  <si>
    <t>71639</t>
  </si>
  <si>
    <t>ENDOSKOPICKÁ OPERACE V NOSNÍ DUTINĚ</t>
  </si>
  <si>
    <t xml:space="preserve">ENDOSKOPICKÁ OPERACE V NOSNÍ DUTINĚ               </t>
  </si>
  <si>
    <t>71315</t>
  </si>
  <si>
    <t>LARYNGOSKOPIE NEBO EPIFARYNGOSKOPIE FLEXIBILNÍ OPT</t>
  </si>
  <si>
    <t>71319</t>
  </si>
  <si>
    <t>ESOFAGOSKOPIE RIGIDNÍ</t>
  </si>
  <si>
    <t>71729</t>
  </si>
  <si>
    <t>ODSTRANĚNÍ POLYPU NEBO JINÉHO NOVOTVARU Z HRTANU N</t>
  </si>
  <si>
    <t>71665</t>
  </si>
  <si>
    <t xml:space="preserve">FENESTRACE ČELNÍ DUTINY                           </t>
  </si>
  <si>
    <t>71734</t>
  </si>
  <si>
    <t>LARYNGEKTOMIE ČÁSTEČNÁ VERTIKÁLNÍ FRONTOLATERÁLNÍ</t>
  </si>
  <si>
    <t>7F5</t>
  </si>
  <si>
    <t>75323</t>
  </si>
  <si>
    <t>PENETRUJÍCÍ A PERFORUJÍCÍ PORANĚNÍ OKA</t>
  </si>
  <si>
    <t>75411</t>
  </si>
  <si>
    <t>PLASTICKÁ OPERACE SPOJIVKY, EVENTUELNĚ ŠTĚPEM (KOR</t>
  </si>
  <si>
    <t>75371</t>
  </si>
  <si>
    <t>ENUKLEACE A EVISCERACE BULBU</t>
  </si>
  <si>
    <t>7F6</t>
  </si>
  <si>
    <t>76439</t>
  </si>
  <si>
    <t>ORCHIECTOMIE JEDNOSTRANNÁ</t>
  </si>
  <si>
    <t>76449</t>
  </si>
  <si>
    <t>INCIZE A DRENÁŽ ABSCESU SKROTA, VARLETE A NADVARLE</t>
  </si>
  <si>
    <t>76459</t>
  </si>
  <si>
    <t>LIGATURA VAS DEFERENS (VAZEKTOMIE) JEDNOSTRANNÁ</t>
  </si>
  <si>
    <t>76477</t>
  </si>
  <si>
    <t>NEFREKTOMIE LUMBÁLNÍ JEDNOSTRANNÁ</t>
  </si>
  <si>
    <t>76479</t>
  </si>
  <si>
    <t>NEFREKTOMIE TRANSPERITONEÁLNÍ</t>
  </si>
  <si>
    <t>76483</t>
  </si>
  <si>
    <t>RESEKCE LEDVINY NEBO HEMINEFREKTOMIE JEDNOSTRANNÁ</t>
  </si>
  <si>
    <t>76527</t>
  </si>
  <si>
    <t>URETERORENOSKOPIE</t>
  </si>
  <si>
    <t>76529</t>
  </si>
  <si>
    <t>URETEROSKOPIE S TRIPSÍ KONKREMENTU NEBO EXTRAKCÍ V</t>
  </si>
  <si>
    <t>76121</t>
  </si>
  <si>
    <t xml:space="preserve">NEFROSTOMOGRAM (JEN KLINICKÝ VÝKON)               </t>
  </si>
  <si>
    <t>NEFROSTOMOGRAM (JEN KLINICKÝ VÝKON)</t>
  </si>
  <si>
    <t>76555</t>
  </si>
  <si>
    <t>KOAGULACE V MĚCHÝŘI NEBO URETŘE, DISCIZE URETER. Ú</t>
  </si>
  <si>
    <t>76531</t>
  </si>
  <si>
    <t xml:space="preserve">CYSTOURETROSKOPIE                                 </t>
  </si>
  <si>
    <t>CYSTOURETROSKOPIE</t>
  </si>
  <si>
    <t>76215</t>
  </si>
  <si>
    <t>KATETRIZACE URETERU, NEBO EXTRAKCE KONKREMENTU Z M</t>
  </si>
  <si>
    <t>76565</t>
  </si>
  <si>
    <t>BIOPSIE EV. EXTRAKCE Z MĚCHÝŘE - CIZÍ TĚLESO, KONK</t>
  </si>
  <si>
    <t>76345</t>
  </si>
  <si>
    <t>REIMPLANTACE URETERU (UCNA)</t>
  </si>
  <si>
    <t>76335</t>
  </si>
  <si>
    <t>OPERAČNÍ REVIZE PERIRENÁLNÍCH NEBO PERIURETERÁLNÍC</t>
  </si>
  <si>
    <t>76355</t>
  </si>
  <si>
    <t>URETERO - URETEROSTOMIE JEDNOSTRANNÁ</t>
  </si>
  <si>
    <t>76359</t>
  </si>
  <si>
    <t>URETEROLÝZA PRO PERIURETERÁLNÍ FIBRÓZU S TRANSPOZI</t>
  </si>
  <si>
    <t>7T8</t>
  </si>
  <si>
    <t>78813</t>
  </si>
  <si>
    <t>CVVH - KONTINUÁLNÍ VENOVENÓZNÍ HEMOFILTRACE</t>
  </si>
  <si>
    <t>809</t>
  </si>
  <si>
    <t>89198</t>
  </si>
  <si>
    <t>SKIASKOPIE</t>
  </si>
  <si>
    <t>89313</t>
  </si>
  <si>
    <t xml:space="preserve">PERKUTÁNNÍ PUNKCE NEBO BIOPSIE ŘÍZENÁ RDG METODOU </t>
  </si>
  <si>
    <t>89327</t>
  </si>
  <si>
    <t xml:space="preserve">KONTROLNÍ NÁSTŘIK DRENÁŽNÍHO KATÉTRU              </t>
  </si>
  <si>
    <t>89455</t>
  </si>
  <si>
    <t xml:space="preserve">PERKUTÁNNÍ NEFROSTOMIE JEDNOSTRANNÁ               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</si>
  <si>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</si>
  <si>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</si>
  <si>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</si>
  <si>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</si>
  <si>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</si>
  <si>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</si>
  <si>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</si>
  <si>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</si>
  <si>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</si>
  <si>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</si>
  <si>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00121</t>
  </si>
  <si>
    <t xml:space="preserve">DLOUHODOBÁ MECHANICKÁ VENTILACE &gt; 240 HODIN (11-21 DNÍ) S EKO                                       </t>
  </si>
  <si>
    <t>00122</t>
  </si>
  <si>
    <t>00123</t>
  </si>
  <si>
    <t>00132</t>
  </si>
  <si>
    <t xml:space="preserve">DLOUHODOBÁ MECHANICKÁ VENTILACE &gt; 96 HODIN (5-10 DNÍ) S EKONO                                       </t>
  </si>
  <si>
    <t>00133</t>
  </si>
  <si>
    <t>01013</t>
  </si>
  <si>
    <t xml:space="preserve">KRANIOTOMIE S MCC                                                                                   </t>
  </si>
  <si>
    <t>01353</t>
  </si>
  <si>
    <t xml:space="preserve">NESPECIFICKÁ CÉVNÍ MOZKOVÁ PŘÍHODA A PRECEREBRÁLNÍ OKLUZE BEZ                                       </t>
  </si>
  <si>
    <t>01443</t>
  </si>
  <si>
    <t xml:space="preserve">KRANIÁLNÍ A INTRAKRANIÁLNÍ PORANĚNÍ S MCC                                                           </t>
  </si>
  <si>
    <t>03333</t>
  </si>
  <si>
    <t xml:space="preserve">EPIGLOTITIS, OTITIS MEDIA, INFEKCE HORNÍCH CEST DÝCHACÍCH, LA                                       </t>
  </si>
  <si>
    <t>04033</t>
  </si>
  <si>
    <t xml:space="preserve">JINÉ VÝKONY PŘI PORUCHÁCH A ONEMOCNĚNÍCH DÝCHACÍHO SYSTÉMU S                                        </t>
  </si>
  <si>
    <t>04310</t>
  </si>
  <si>
    <t xml:space="preserve">RESPIRAČNÍ SELHÁNÍ                                                                                  </t>
  </si>
  <si>
    <t>04403</t>
  </si>
  <si>
    <t xml:space="preserve">PNEUMOTORAX A PLEURÁNÍ VÝPOTEK S MCC                                                                </t>
  </si>
  <si>
    <t>04412</t>
  </si>
  <si>
    <t xml:space="preserve">PŘÍZNAKY, SYMPTOMY A JINÉ DIAGNÓZY DÝCHACÍHO SYSTÉMU S CC                                           </t>
  </si>
  <si>
    <t>05000</t>
  </si>
  <si>
    <t xml:space="preserve">ÚMRTÍ DO 5 DNÍ OD PŘÍJMU PŘI HLAVNÍ DIAGNÓZE OBĚHOVÉHO SYSTÉM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</si>
  <si>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</si>
  <si>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</si>
  <si>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</si>
  <si>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</si>
  <si>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</si>
  <si>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</si>
  <si>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</si>
  <si>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</si>
  <si>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</si>
  <si>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</si>
  <si>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</si>
  <si>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</si>
  <si>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05233</t>
  </si>
  <si>
    <t xml:space="preserve">PERKUTÁNNÍ KORONÁRNÍ ANGIOPLASTIKA, &lt;=2 POTAHOVANÉ STENTY PŘI                                       </t>
  </si>
  <si>
    <t>05371</t>
  </si>
  <si>
    <t xml:space="preserve">NEOBJASNĚNÁ SRDEČNÍ ZÁSTAVA BEZ CC        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</si>
  <si>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</si>
  <si>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</si>
  <si>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</si>
  <si>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</si>
  <si>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05473</t>
  </si>
  <si>
    <t xml:space="preserve">JINÉ PORUCHY OBĚHOVÉHO SYSTÉMU S MCC                                                                </t>
  </si>
  <si>
    <t>05481</t>
  </si>
  <si>
    <t xml:space="preserve">ENDOVASKULÁRNÍ VÝKONY PRO AKUTNÍ ISCHÉMII V OBLASTI PERIFERNÍ                                       </t>
  </si>
  <si>
    <t>05482</t>
  </si>
  <si>
    <t>05502</t>
  </si>
  <si>
    <t xml:space="preserve">ANGIOPLASTIKA NEBO ZAVEDENÍ STENTU DO PERIFERNÍ CÉVY S CC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</si>
  <si>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</si>
  <si>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</si>
  <si>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</si>
  <si>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</si>
  <si>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06023</t>
  </si>
  <si>
    <t xml:space="preserve">VELKÉ VÝKONY NA ŽALUDKU, JÍCNU A DVANÁCTNÍKU S MCC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</si>
  <si>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</si>
  <si>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</si>
  <si>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</si>
  <si>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</si>
  <si>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06103</t>
  </si>
  <si>
    <t xml:space="preserve">JINÉ VÝKONY PŘI PORUCHÁCH A ONEMOCNĚNÍCH TRÁVICÍHO SYSTÉMU S                                        </t>
  </si>
  <si>
    <t>06302</t>
  </si>
  <si>
    <t xml:space="preserve">MALIGNÍ ONEMOCNĚNÍ TRÁVICÍHO SYSTÉMU S CC                                                           </t>
  </si>
  <si>
    <t>06312</t>
  </si>
  <si>
    <t xml:space="preserve">PEPTICKÝ VŘED A GASTRITIDA S CC                                                                     </t>
  </si>
  <si>
    <t>06322</t>
  </si>
  <si>
    <t xml:space="preserve">PORUCHY JÍCNU S CC                               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</si>
  <si>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</si>
  <si>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</si>
  <si>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</si>
  <si>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</si>
  <si>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</si>
  <si>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</si>
  <si>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07303</t>
  </si>
  <si>
    <t xml:space="preserve">CIRHÓZA A ALKOHOLICKÁ HEPATITIDA S MCC                                                              </t>
  </si>
  <si>
    <t>08031</t>
  </si>
  <si>
    <t xml:space="preserve">FÚZE PÁTEŘE, NE PRO DEFORMITY BEZ CC                                                                </t>
  </si>
  <si>
    <t>08033</t>
  </si>
  <si>
    <t xml:space="preserve">FÚZE PÁTEŘE, NE PRO DEFORMITY S MCC                                                                 </t>
  </si>
  <si>
    <t>08042</t>
  </si>
  <si>
    <t xml:space="preserve">TOTÁLNÍ ENDOPROTÉZU KYČLE, LOKTE, ZÁPĚSTÍ, TOTÁLNÍ A REVERZNÍ                                       </t>
  </si>
  <si>
    <t>08081</t>
  </si>
  <si>
    <t xml:space="preserve">VÝKONY NA KYČLÍCH A STEHENNÍ KOSTI, KROMĚ REPLANTACE VELKÝCH                                        </t>
  </si>
  <si>
    <t>08082</t>
  </si>
  <si>
    <t>08083</t>
  </si>
  <si>
    <t>08113</t>
  </si>
  <si>
    <t xml:space="preserve">VÝKONY NA KOLENU, BÉRCI A HLEZNU, KROMĚ CHODIDLA A ALOPLASTIK                                       </t>
  </si>
  <si>
    <t>08152</t>
  </si>
  <si>
    <t xml:space="preserve">VÝKONY NA HORNÍCH KONČETINÁCH S CC                                                                  </t>
  </si>
  <si>
    <t>08171</t>
  </si>
  <si>
    <t xml:space="preserve">JINÉ VÝKONY PŘI PORUCHÁCH A ONEMOCNĚNÍCH MUSKULOSKELETÁLNÍHO                                        </t>
  </si>
  <si>
    <t>08172</t>
  </si>
  <si>
    <t>08303</t>
  </si>
  <si>
    <t xml:space="preserve">ZLOMENINY KOSTI STEHENNÍ S MCC                                                                      </t>
  </si>
  <si>
    <t>08321</t>
  </si>
  <si>
    <t xml:space="preserve">ZLOMENINA NEBO DISLOKACE, KROMĚ STEHENNÍ KOSTI A PÁNVE BEZ CC                                       </t>
  </si>
  <si>
    <t>08353</t>
  </si>
  <si>
    <t xml:space="preserve">SEPTICKÁ ARTRITIDA S MCC                                                                            </t>
  </si>
  <si>
    <t>08411</t>
  </si>
  <si>
    <t xml:space="preserve">JINÉ PORUCHY MUSKULOSKELETÁLNÍHO SYSTÉMU A POJIVOVÉ TKÁNĚ BEZ                                       </t>
  </si>
  <si>
    <t>10051</t>
  </si>
  <si>
    <t xml:space="preserve">VÝKONY NA ŠTÍTNÉ A PŘÍŠTITNÉ ŽLÁZE, THYROGLOSSÁLNÍ VÝKONY BEZ                                       </t>
  </si>
  <si>
    <t>10063</t>
  </si>
  <si>
    <t xml:space="preserve">JINÉ VÝKONY PŘI ENDOKRINNÍCH, NUTRIČNÍCH A METABOLICKÝCH PORU                                       </t>
  </si>
  <si>
    <t>11032</t>
  </si>
  <si>
    <t xml:space="preserve">VELKÉ VÝKONY NA LEDVINÁCH A MOČOVÝCH CESTÁCH S CC                                                   </t>
  </si>
  <si>
    <t>11042</t>
  </si>
  <si>
    <t xml:space="preserve">DIALÝZA A ELIMINAČNÍ METODY S CC                                                                    </t>
  </si>
  <si>
    <t>11083</t>
  </si>
  <si>
    <t xml:space="preserve">JINÉ VÝKONY PŘI PORUCHÁCH A ONEMOCNĚNÍCH LEDVIN A MOČOVÝCH CE                                       </t>
  </si>
  <si>
    <t>11303</t>
  </si>
  <si>
    <t xml:space="preserve">MALIGNÍ ONEMOCNĚNÍ LEDVIN A MOČOVÝCH CEST A LEDVINOVÉ SELHÁNÍ                                       </t>
  </si>
  <si>
    <t>12302</t>
  </si>
  <si>
    <t xml:space="preserve">MALIGNÍ ONEMOCNĚNÍ MUŽSKÉHO REPRODUKČNÍHO SYSTÉMU S CC                                              </t>
  </si>
  <si>
    <t>13321</t>
  </si>
  <si>
    <t xml:space="preserve">MENSTRUAČNÍ A JINÉ PORUCHY ŽENSKÉHO REPRODUKČNÍHO SYSTÉMU BEZ                                       </t>
  </si>
  <si>
    <t>16023</t>
  </si>
  <si>
    <t xml:space="preserve">JINÉ VÝKONY PRO KREVNÍ ONEMOCNĚNÍ A NA KRVETVORNÝCH ORGÁNECH    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</si>
  <si>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</si>
  <si>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</si>
  <si>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</si>
  <si>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</si>
  <si>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</si>
  <si>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</si>
  <si>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</si>
  <si>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</si>
  <si>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</si>
  <si>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</si>
  <si>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21022</t>
  </si>
  <si>
    <t xml:space="preserve">JINÉ VÝKONY PŘI ÚRAZECH A KOMPLIKACÍCH S CC                                                         </t>
  </si>
  <si>
    <t>21023</t>
  </si>
  <si>
    <t xml:space="preserve">JINÉ VÝKONY PŘI ÚRAZECH A KOMPLIKACÍCH S MCC                                                        </t>
  </si>
  <si>
    <t>21301</t>
  </si>
  <si>
    <t xml:space="preserve">PORANĚNÍ NA NESPECIFIKOVANÉM MÍSTĚ NEBO NA VÍCE MÍSTECH BEZ C                                       </t>
  </si>
  <si>
    <t>21303</t>
  </si>
  <si>
    <t xml:space="preserve">PORANĚNÍ NA NESPECIFIKOVANÉM MÍSTĚ NEBO NA VÍCE MÍSTECH S MCC                                       </t>
  </si>
  <si>
    <t>23323</t>
  </si>
  <si>
    <t xml:space="preserve">JINÉ FAKTORY OVLIVŇUJÍCÍ ZDRAVOTNÍ STAV S MCC                                                       </t>
  </si>
  <si>
    <t>25023</t>
  </si>
  <si>
    <t xml:space="preserve">JINÉ VÝKONY PŘI MNOHOČETNÉM ZÁVAŽNÉM TRAUMATU S MCC                                                 </t>
  </si>
  <si>
    <t>25040</t>
  </si>
  <si>
    <t xml:space="preserve">DLOUHODOBÁ MECHANICKÁ VENTILACE PŘI POLYTRAUMATU &gt; 504 HODIN                                        </t>
  </si>
  <si>
    <t>25052</t>
  </si>
  <si>
    <t xml:space="preserve">DLOUHODOBÁ MECHANICKÁ VENTILACE PŘI POLYTRAUMATU &gt; 240 HODIN                                        </t>
  </si>
  <si>
    <t>25073</t>
  </si>
  <si>
    <t xml:space="preserve">DLOUHODOBÁ MECHANICKÁ VENTILACE PŘI POLYTRAUMATU &gt; 96 HODIN (                                       </t>
  </si>
  <si>
    <t>25303</t>
  </si>
  <si>
    <t xml:space="preserve">DIAGNÓZY TÝKAJÍCÍ SE HLAVY, HRUDNÍKU A DOLNÍCH KONČETIN PŘI M                                       </t>
  </si>
  <si>
    <t>25361</t>
  </si>
  <si>
    <t>25370</t>
  </si>
  <si>
    <t xml:space="preserve">ÚMRTÍ DO 5 DNÍ OD PŘÍJMU PŘI POLYTRAUMATU             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</si>
  <si>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</si>
  <si>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</si>
  <si>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</si>
  <si>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</si>
  <si>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</si>
  <si>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12 - Urologická klinika</t>
  </si>
  <si>
    <t>17 - Neurologická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</si>
  <si>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</si>
  <si>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</si>
  <si>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</si>
  <si>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</si>
  <si>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</si>
  <si>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</si>
  <si>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</si>
  <si>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</si>
  <si>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</si>
  <si>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</si>
  <si>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89173</t>
  </si>
  <si>
    <t xml:space="preserve">ANTEGRÁDNÍ PYELOGRAFIE JEDNOSTRANNÁ               </t>
  </si>
  <si>
    <t>ANTEGRÁDNÍ PYELOGRAFIE JEDNOSTRANNÁ</t>
  </si>
  <si>
    <t xml:space="preserve">SKIASKOPIE                                        </t>
  </si>
  <si>
    <t>89169</t>
  </si>
  <si>
    <t>CYSTOURETROGRAFIE</t>
  </si>
  <si>
    <t>89165</t>
  </si>
  <si>
    <t xml:space="preserve">RETROGRÁDNÍ PYELOGRAFIE JEDNOSTRANNÁ              </t>
  </si>
  <si>
    <t>RETROGRÁDNÍ PYELOGRAFIE JEDNOSTRANNÁ</t>
  </si>
  <si>
    <t>17</t>
  </si>
  <si>
    <t>209</t>
  </si>
  <si>
    <t>87513</t>
  </si>
  <si>
    <t>STANOVENÍ CYTOLOGICKÉ DIAGNÓZY I. STUPNĚ OBTÍŽNOST</t>
  </si>
  <si>
    <t>22</t>
  </si>
  <si>
    <t>407</t>
  </si>
  <si>
    <t>0002095</t>
  </si>
  <si>
    <t>99mTc-nanokoloid alb.inj.</t>
  </si>
  <si>
    <t>0002022</t>
  </si>
  <si>
    <t>99mTc Etifenin inj.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</si>
  <si>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</si>
  <si>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</si>
  <si>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</si>
  <si>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</si>
  <si>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</si>
  <si>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</si>
  <si>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</si>
  <si>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</si>
  <si>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</si>
  <si>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</si>
  <si>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47187</t>
  </si>
  <si>
    <t>SCINTIGRAFIE JATER A ŽLUČOVÝCH CEST DYNAMICKÁ</t>
  </si>
  <si>
    <t>32</t>
  </si>
  <si>
    <t>816</t>
  </si>
  <si>
    <t>94181</t>
  </si>
  <si>
    <t>ZHOTOVENÍ KARYOTYPU Z JEDNÉ MITÓZY</t>
  </si>
  <si>
    <t>94115</t>
  </si>
  <si>
    <t>IN SITU HYBRIDIZACE LIDSKÉ DNA SE ZNAČENOU SONDOU</t>
  </si>
  <si>
    <t>94145</t>
  </si>
  <si>
    <t>RUTINNÍ VYŠETŘENÍ KOSTNÍ DŘENĚ PŘÍMÉ A S KULTIVACÍ</t>
  </si>
  <si>
    <t>94225</t>
  </si>
  <si>
    <t>IZOLACE A BANKING LIDSKÝCH NUKLEOVÝCH KYSELIN (DNA</t>
  </si>
  <si>
    <t>94353</t>
  </si>
  <si>
    <t>STANOVENÍ ZNÁMÉ GENOVÉ VARIANTY LIDSKÉHO SOMATICKÉ</t>
  </si>
  <si>
    <t>94233</t>
  </si>
  <si>
    <t>ANALÝZA VARIANT LIDSKÉHO SOMATICKÉHO GENOMU NA BIO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</si>
  <si>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</si>
  <si>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</si>
  <si>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</si>
  <si>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</si>
  <si>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</si>
  <si>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</si>
  <si>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 xml:space="preserve">STANOVENÍ HEPARINOVÝCH JEDNOTEK ANTI XA           </t>
  </si>
  <si>
    <t>96167</t>
  </si>
  <si>
    <t>KREVNÍ OBRAZ S PĚTI POPULAČNÍM DIFERENCIÁLNÍM POČT</t>
  </si>
  <si>
    <t>96191</t>
  </si>
  <si>
    <t xml:space="preserve">FAKTOR VIII - STANOVENÍ AKTIVITY                  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</si>
  <si>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</si>
  <si>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</si>
  <si>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</si>
  <si>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</si>
  <si>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</si>
  <si>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</si>
  <si>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 xml:space="preserve">POČET TROMBOCYTŮ MIKROSKOPICKY                    </t>
  </si>
  <si>
    <t>POČET TROMBOCYTŮ MIKROSKOPICKY</t>
  </si>
  <si>
    <t>96617</t>
  </si>
  <si>
    <t>TROMBINOVÝ ČAS</t>
  </si>
  <si>
    <t xml:space="preserve">TROMBINOVÝ ČAS                                    </t>
  </si>
  <si>
    <t>96621</t>
  </si>
  <si>
    <t xml:space="preserve">AKTIVOVANÝ PARTIALNÍ TROMBOPLASTINOVÝ TEST (APTT) 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</si>
  <si>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</si>
  <si>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</si>
  <si>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</si>
  <si>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</si>
  <si>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</si>
  <si>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</si>
  <si>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</si>
  <si>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</si>
  <si>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</si>
  <si>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 xml:space="preserve">ANTITROMBIN III, CHROMOGENNÍ METODOU (SÉRIE)      </t>
  </si>
  <si>
    <t>ANTITROMBIN III, CHROMOGENNÍ METODOU (SÉRIE)</t>
  </si>
  <si>
    <t>96515</t>
  </si>
  <si>
    <t xml:space="preserve">FIBRIN DEGRADAČNÍ PRODUKTY KVANTITATIVNĚ          </t>
  </si>
  <si>
    <t>FIBRIN DEGRADAČNÍ PRODUKTY KVANTITATIVNĚ</t>
  </si>
  <si>
    <t>96113</t>
  </si>
  <si>
    <t>PLAZMINOGEN - AKTIVITA</t>
  </si>
  <si>
    <t>96325</t>
  </si>
  <si>
    <t xml:space="preserve">FIBRINOGEN (SÉRIE)                                </t>
  </si>
  <si>
    <t>96613</t>
  </si>
  <si>
    <t>VYŠETŘENÍ NÁTĚRU NA SCHIZOCYTY</t>
  </si>
  <si>
    <t xml:space="preserve">VYŠETŘENÍ NÁTĚRU NA SCHIZOCYTY                    </t>
  </si>
  <si>
    <t>96193</t>
  </si>
  <si>
    <t>FAKTOR IX - STANOVENÍ AKTIVITY</t>
  </si>
  <si>
    <t>94195</t>
  </si>
  <si>
    <t>SYNTÉZA cDNA REVERZNÍ TRANSKRIPCÍ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</si>
  <si>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</si>
  <si>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</si>
  <si>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</si>
  <si>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</si>
  <si>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</si>
  <si>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</si>
  <si>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96239</t>
  </si>
  <si>
    <t>DESTIČKOVÝ NEUTRALIZAČNÍ TEST (PNP)</t>
  </si>
  <si>
    <t xml:space="preserve">DESTIČKOVÝ NEUTRALIZAČNÍ TEST (PNP)               </t>
  </si>
  <si>
    <t>96215</t>
  </si>
  <si>
    <t>APC REZISTENCE</t>
  </si>
  <si>
    <t>96879</t>
  </si>
  <si>
    <t xml:space="preserve">DRVVT - SCREENING LA                              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</si>
  <si>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</si>
  <si>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</si>
  <si>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</si>
  <si>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</si>
  <si>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</si>
  <si>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</si>
  <si>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</si>
  <si>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</si>
  <si>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</si>
  <si>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96889</t>
  </si>
  <si>
    <t xml:space="preserve">TROMBIN GENERAČNÍ ČAS                             </t>
  </si>
  <si>
    <t>TROMBIN GENERAČNÍ ČAS</t>
  </si>
  <si>
    <t>96875</t>
  </si>
  <si>
    <t>DRVVT - KONFIRMACE</t>
  </si>
  <si>
    <t xml:space="preserve">DRVVT - KONFIRMACE                                </t>
  </si>
  <si>
    <t>96891</t>
  </si>
  <si>
    <t>TROMBELASTOGRAM</t>
  </si>
  <si>
    <t xml:space="preserve">TROMBELASTOGRAM                                   </t>
  </si>
  <si>
    <t>33</t>
  </si>
  <si>
    <t>801</t>
  </si>
  <si>
    <t>81111</t>
  </si>
  <si>
    <t xml:space="preserve">A L T  STATIM                                     </t>
  </si>
  <si>
    <t>81117</t>
  </si>
  <si>
    <t>AMYLASA (SÉRUM, MOČ) STATIM</t>
  </si>
  <si>
    <t xml:space="preserve">AMYLASA (SÉRUM, MOČ) STATIM                       </t>
  </si>
  <si>
    <t>81121</t>
  </si>
  <si>
    <t xml:space="preserve">BILIRUBIN CELKOVÝ STATIM                          </t>
  </si>
  <si>
    <t>81137</t>
  </si>
  <si>
    <t xml:space="preserve">UREA STATIM                                       </t>
  </si>
  <si>
    <t>81141</t>
  </si>
  <si>
    <t>VÁPNÍK IONIZOVANÝ STATIM</t>
  </si>
  <si>
    <t>81147</t>
  </si>
  <si>
    <t xml:space="preserve">FOSFATÁZA ALKALICKÁ STATIM                        </t>
  </si>
  <si>
    <t>81157</t>
  </si>
  <si>
    <t xml:space="preserve">CHLORIDY STATIM                                   </t>
  </si>
  <si>
    <t>81161</t>
  </si>
  <si>
    <t>AMYLÁZA PANKREATICKÁ STATIM</t>
  </si>
  <si>
    <t xml:space="preserve">AMYLÁZA PANKREATICKÁ STATIM                       </t>
  </si>
  <si>
    <t>81167</t>
  </si>
  <si>
    <t xml:space="preserve">KREATINKINÁZA IZOENZYMY (CK-MB) STATIM            </t>
  </si>
  <si>
    <t>81171</t>
  </si>
  <si>
    <t xml:space="preserve">KYSELINA MLÉČNÁ (LAKTÁT) STATIM                   </t>
  </si>
  <si>
    <t>81227</t>
  </si>
  <si>
    <t>PROSTATICKÝ SPECIFICKÝ ANTIGEN (PSA) - VOLNÝ</t>
  </si>
  <si>
    <t xml:space="preserve">PROSTATICKÝ SPECIFICKÝ ANTIGEN (PSA) - VOLNÝ      </t>
  </si>
  <si>
    <t>81231</t>
  </si>
  <si>
    <t xml:space="preserve">METHEMOGLOBIN - KVANTITATIVNÍ STANOVENÍ           </t>
  </si>
  <si>
    <t>METHEMOGLOBIN - KVANTITATIVNÍ STANOVENÍ</t>
  </si>
  <si>
    <t>81237</t>
  </si>
  <si>
    <t xml:space="preserve">TROPONIN - T NEBO I ELISA                         </t>
  </si>
  <si>
    <t>TROPONIN - T NEBO I ELISA</t>
  </si>
  <si>
    <t>81331</t>
  </si>
  <si>
    <t xml:space="preserve">ALBUMIN V MOZKOMÍŠNÍM MOKU                        </t>
  </si>
  <si>
    <t>ALBUMIN V MOZKOMÍŠNÍM MOKU</t>
  </si>
  <si>
    <t>81341</t>
  </si>
  <si>
    <t xml:space="preserve">AMONIAK                                           </t>
  </si>
  <si>
    <t>AMONIAK</t>
  </si>
  <si>
    <t>81397</t>
  </si>
  <si>
    <t>ELEKTROFORÉZA PROTEINŮ (SÉRUM)</t>
  </si>
  <si>
    <t xml:space="preserve">ELEKTROFORÉZA PROTEINŮ (SÉRUM)                    </t>
  </si>
  <si>
    <t>81427</t>
  </si>
  <si>
    <t xml:space="preserve">FOSFOR ANORGANICKÝ                                </t>
  </si>
  <si>
    <t>81451</t>
  </si>
  <si>
    <t xml:space="preserve">HEMOGLOBIN VOLNÝ V PLAZMĚ                         </t>
  </si>
  <si>
    <t>HEMOGLOBIN VOLNÝ V PLAZMĚ</t>
  </si>
  <si>
    <t>81481</t>
  </si>
  <si>
    <t xml:space="preserve">AMYLÁZA PANKREATICKÁ                              </t>
  </si>
  <si>
    <t>AMYLÁZA PANKREATICKÁ</t>
  </si>
  <si>
    <t>81527</t>
  </si>
  <si>
    <t>CHOLESTEROL LDL</t>
  </si>
  <si>
    <t xml:space="preserve">CHOLESTEROL LDL                                   </t>
  </si>
  <si>
    <t>81641</t>
  </si>
  <si>
    <t>ŽELEZO CELKOVÉ</t>
  </si>
  <si>
    <t xml:space="preserve">ŽELEZO CELKOVÉ                                    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</si>
  <si>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</si>
  <si>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</si>
  <si>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</si>
  <si>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</si>
  <si>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</si>
  <si>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</si>
  <si>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</si>
  <si>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</si>
  <si>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</si>
  <si>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</si>
  <si>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 xml:space="preserve">STANOVENÍ TRANSFERINU                             </t>
  </si>
  <si>
    <t>91167</t>
  </si>
  <si>
    <t>STANOVENÍ LEHKÝCH ŘETĚZCU KAPPA</t>
  </si>
  <si>
    <t>91171</t>
  </si>
  <si>
    <t xml:space="preserve">STANOVENÍ IgG ELISA                               </t>
  </si>
  <si>
    <t>STANOVENÍ IgG ELISA</t>
  </si>
  <si>
    <t>91175</t>
  </si>
  <si>
    <t xml:space="preserve">STANOVENÍ IgM ELISA                               </t>
  </si>
  <si>
    <t>STANOVENÍ IgM ELISA</t>
  </si>
  <si>
    <t>91397</t>
  </si>
  <si>
    <t>ELEKTROFORESA S NÁSLEDNOU IMUNOFIXACÍ (KOMPLEX - I</t>
  </si>
  <si>
    <t>91481</t>
  </si>
  <si>
    <t xml:space="preserve">STANOVENÍ KONCENTRACE PROCALCITONINU              </t>
  </si>
  <si>
    <t>STANOVENÍ KONCENTRACE PROCALCITONINU</t>
  </si>
  <si>
    <t>93131</t>
  </si>
  <si>
    <t xml:space="preserve">KORTISOL                                          </t>
  </si>
  <si>
    <t>KORTISOL</t>
  </si>
  <si>
    <t>93137</t>
  </si>
  <si>
    <t>PROGESTERON</t>
  </si>
  <si>
    <t>93151</t>
  </si>
  <si>
    <t>FERRITIN</t>
  </si>
  <si>
    <t xml:space="preserve">FERRITIN                                          </t>
  </si>
  <si>
    <t>93167</t>
  </si>
  <si>
    <t>NEURON - SPECIFICKÁ ENOLÁZA (NSE)</t>
  </si>
  <si>
    <t>93171</t>
  </si>
  <si>
    <t>PARATHORMON</t>
  </si>
  <si>
    <t>93177</t>
  </si>
  <si>
    <t>PROLAKTIN</t>
  </si>
  <si>
    <t>93187</t>
  </si>
  <si>
    <t xml:space="preserve">TYROXIN CELKOVÝ (TT4)                             </t>
  </si>
  <si>
    <t>TYROXIN CELKOVÝ (TT4)</t>
  </si>
  <si>
    <t>93191</t>
  </si>
  <si>
    <t>TESTOSTERON</t>
  </si>
  <si>
    <t>81119</t>
  </si>
  <si>
    <t>AMONIAK STATIM</t>
  </si>
  <si>
    <t xml:space="preserve">AMONIAK STATIM                                    </t>
  </si>
  <si>
    <t>81135</t>
  </si>
  <si>
    <t xml:space="preserve">SODÍK STATIM                                      </t>
  </si>
  <si>
    <t>81473</t>
  </si>
  <si>
    <t>CHOLESTEROL HDL</t>
  </si>
  <si>
    <t xml:space="preserve">CHOLESTEROL HDL                                   </t>
  </si>
  <si>
    <t>81563</t>
  </si>
  <si>
    <t xml:space="preserve">OSMOLALITA (SÉRUM, MOČ)                           </t>
  </si>
  <si>
    <t>93189</t>
  </si>
  <si>
    <t xml:space="preserve">TYROXIN VOLNÝ (FT4)                               </t>
  </si>
  <si>
    <t>TYROXIN VOLNÝ (FT4)</t>
  </si>
  <si>
    <t>81585</t>
  </si>
  <si>
    <t>ACIDOBAZICKÁ ROVNOVÁHA</t>
  </si>
  <si>
    <t xml:space="preserve">ACIDOBAZICKÁ ROVNOVÁHA                            </t>
  </si>
  <si>
    <t>93245</t>
  </si>
  <si>
    <t>TRIJODTYRONIN VOLNÝ (FT3)</t>
  </si>
  <si>
    <t xml:space="preserve">TRIJODTYRONIN VOLNÝ (FT3)                         </t>
  </si>
  <si>
    <t>94119</t>
  </si>
  <si>
    <t xml:space="preserve">IZOLACE A UCHOVÁNÍ LIDSKÉ DNA (RNA)               </t>
  </si>
  <si>
    <t>91153</t>
  </si>
  <si>
    <t xml:space="preserve">STANOVENÍ  C - REAKTIVNÍHO PROTEINU               </t>
  </si>
  <si>
    <t>81145</t>
  </si>
  <si>
    <t xml:space="preserve">DRASLÍK STATIM                                    </t>
  </si>
  <si>
    <t>81153</t>
  </si>
  <si>
    <t xml:space="preserve">GAMA-GLUTAMYLTRANSFERÁZA (GMT) STATIM             </t>
  </si>
  <si>
    <t>81113</t>
  </si>
  <si>
    <t xml:space="preserve">A S T  STATIM                                     </t>
  </si>
  <si>
    <t>93225</t>
  </si>
  <si>
    <t>PROSTATICKÝ SPECIFICKÝ ANTIGEN (PSA)</t>
  </si>
  <si>
    <t xml:space="preserve">PROSTATICKÝ SPECIFICKÝ ANTIGEN (PSA)              </t>
  </si>
  <si>
    <t>93129</t>
  </si>
  <si>
    <t>FOLITROPIN (FSH)</t>
  </si>
  <si>
    <t>81383</t>
  </si>
  <si>
    <t>LAKTÁTDEHYDROGENÁZA (L D)</t>
  </si>
  <si>
    <t xml:space="preserve">LAKTÁTDEHYDROGENÁZA (L D)                         </t>
  </si>
  <si>
    <t>81169</t>
  </si>
  <si>
    <t xml:space="preserve">KREATININ STATIM                                  </t>
  </si>
  <si>
    <t>81143</t>
  </si>
  <si>
    <t xml:space="preserve">LAKTÁTDEHYDROGENÁZA STATIM                        </t>
  </si>
  <si>
    <t>LAKTÁTDEHYDROGENÁZA STATIM</t>
  </si>
  <si>
    <t>81495</t>
  </si>
  <si>
    <t>KREATINKINÁZA (CK)</t>
  </si>
  <si>
    <t xml:space="preserve">KREATINKINÁZA (CK)                                </t>
  </si>
  <si>
    <t>81315</t>
  </si>
  <si>
    <t>REGISTRAČNÍ SPEKTROFOTOMETRIE NATIVNÍHO MOZKOMÍŠNÍ</t>
  </si>
  <si>
    <t>81449</t>
  </si>
  <si>
    <t>GLYKOVANÝ HEMOGLOBIN</t>
  </si>
  <si>
    <t>81149</t>
  </si>
  <si>
    <t xml:space="preserve">FOSFOR ANORGANICKÝ STATIM                         </t>
  </si>
  <si>
    <t>81173</t>
  </si>
  <si>
    <t>LIPÁZA STATIM</t>
  </si>
  <si>
    <t xml:space="preserve">LIPÁZA STATIM                                     </t>
  </si>
  <si>
    <t>93195</t>
  </si>
  <si>
    <t>TYREOTROPIN (TSH)</t>
  </si>
  <si>
    <t xml:space="preserve">TYREOTROPIN (TSH)                                 </t>
  </si>
  <si>
    <t>93213</t>
  </si>
  <si>
    <t xml:space="preserve">VITAMIN B12                                       </t>
  </si>
  <si>
    <t>VITAMIN B12</t>
  </si>
  <si>
    <t>81329</t>
  </si>
  <si>
    <t xml:space="preserve">ALBUMIN (SÉRUM)                                   </t>
  </si>
  <si>
    <t>ALBUMIN (SÉRUM)</t>
  </si>
  <si>
    <t>81115</t>
  </si>
  <si>
    <t xml:space="preserve">ALBUMIN SÉRUM (STATIM)                            </t>
  </si>
  <si>
    <t>ALBUMIN SÉRUM (STATIM)</t>
  </si>
  <si>
    <t>93115</t>
  </si>
  <si>
    <t xml:space="preserve">FOLÁTY                                            </t>
  </si>
  <si>
    <t>FOLÁTY</t>
  </si>
  <si>
    <t>81345</t>
  </si>
  <si>
    <t xml:space="preserve">AMYLÁZA                                           </t>
  </si>
  <si>
    <t>AMYLÁZA</t>
  </si>
  <si>
    <t>81155</t>
  </si>
  <si>
    <t xml:space="preserve">GLUKÓZA KVANTITATIVNÍ STANOVENÍ STATIM            </t>
  </si>
  <si>
    <t>91129</t>
  </si>
  <si>
    <t xml:space="preserve">STANOVENÍ IgG                                     </t>
  </si>
  <si>
    <t>STANOVENÍ IgG</t>
  </si>
  <si>
    <t>81249</t>
  </si>
  <si>
    <t xml:space="preserve">CEA (MEIA)                                        </t>
  </si>
  <si>
    <t>81703</t>
  </si>
  <si>
    <t>CYSTATIN C</t>
  </si>
  <si>
    <t>81139</t>
  </si>
  <si>
    <t xml:space="preserve">VÁPNÍK CELKOVÝ STATIM                             </t>
  </si>
  <si>
    <t>91143</t>
  </si>
  <si>
    <t xml:space="preserve">STANOVENÍ PREALBUMINU                             </t>
  </si>
  <si>
    <t>93149</t>
  </si>
  <si>
    <t>ESTRADIOL</t>
  </si>
  <si>
    <t>81363</t>
  </si>
  <si>
    <t xml:space="preserve">BILIRUBIN KONJUGOVANÝ                             </t>
  </si>
  <si>
    <t>BILIRUBIN KONJUGOVANÝ</t>
  </si>
  <si>
    <t>81625</t>
  </si>
  <si>
    <t xml:space="preserve">VÁPNÍK CELKOVÝ                                    </t>
  </si>
  <si>
    <t>VÁPNÍK CELKOVÝ</t>
  </si>
  <si>
    <t>81465</t>
  </si>
  <si>
    <t xml:space="preserve">HOŘČÍK                                            </t>
  </si>
  <si>
    <t>93215</t>
  </si>
  <si>
    <t xml:space="preserve">ALFA - 1 - FETOPROTEIN (AFP)                      </t>
  </si>
  <si>
    <t>93159</t>
  </si>
  <si>
    <t>CHORIOGONADOTROPIN (HCG)</t>
  </si>
  <si>
    <t>91193</t>
  </si>
  <si>
    <t>STANOVENÍ B2 - MIKROGLOBULINU ELISA</t>
  </si>
  <si>
    <t>93133</t>
  </si>
  <si>
    <t>LUTROPIN (LH)</t>
  </si>
  <si>
    <t>91133</t>
  </si>
  <si>
    <t xml:space="preserve">STANOVENÍ IgM                                     </t>
  </si>
  <si>
    <t>STANOVENÍ IgM</t>
  </si>
  <si>
    <t>81533</t>
  </si>
  <si>
    <t xml:space="preserve">LIPÁZA                                            </t>
  </si>
  <si>
    <t>LIPÁZA</t>
  </si>
  <si>
    <t>81339</t>
  </si>
  <si>
    <t>AMINOKYSELINY - STANOVENÍ CELKOVÉHO SPEKTRA V BIOL</t>
  </si>
  <si>
    <t>81629</t>
  </si>
  <si>
    <t xml:space="preserve">VAZEBNÁ KAPACITA ŽELEZA                           </t>
  </si>
  <si>
    <t>93263</t>
  </si>
  <si>
    <t xml:space="preserve">KARBOHYDRÁT-DEFICIENTNÍ TRANSFERIN (CDT)          </t>
  </si>
  <si>
    <t>KARBOHYDRÁT-DEFICIENTNÍ TRANSFERIN (CDT)</t>
  </si>
  <si>
    <t>81369</t>
  </si>
  <si>
    <t>BÍLKOVINA KVANTITATIVNĚ (MOČ, MOZKOM. MOK, VÝPOTEK</t>
  </si>
  <si>
    <t>81125</t>
  </si>
  <si>
    <t xml:space="preserve">BÍLKOVINY CELKOVÉ (SÉRUM) STATIM                  </t>
  </si>
  <si>
    <t>BÍLKOVINY CELKOVÉ (SÉRUM) STATIM</t>
  </si>
  <si>
    <t>81655</t>
  </si>
  <si>
    <t>VYŠETŘENÍ DP - FOTOMETRICKÉ ČI FLUORIMETRICKÉ VYŠ.</t>
  </si>
  <si>
    <t>81235</t>
  </si>
  <si>
    <t xml:space="preserve">TUMORMARKERY CA 19-9, CA 15-3, CA 72-4, CA 125    </t>
  </si>
  <si>
    <t>TUMORMARKERY CA 19-9, CA 15-3, CA 72-4, CA 125</t>
  </si>
  <si>
    <t>94189</t>
  </si>
  <si>
    <t>HYBRIDIZACE DNA SE ZNAČENOU SONDOU</t>
  </si>
  <si>
    <t xml:space="preserve">HYBRIDIZACE DNA SE ZNAČENOU SONDOU                </t>
  </si>
  <si>
    <t>94199</t>
  </si>
  <si>
    <t xml:space="preserve">AMPLIFIKACE METODOU PCR                           </t>
  </si>
  <si>
    <t>93145</t>
  </si>
  <si>
    <t>C-PEPTID</t>
  </si>
  <si>
    <t>81355</t>
  </si>
  <si>
    <t>APOLIPOPROTEINY AI NEBO B</t>
  </si>
  <si>
    <t>91145</t>
  </si>
  <si>
    <t>STANOVENÍ HAPTOGLOBINU</t>
  </si>
  <si>
    <t xml:space="preserve">STANOVENÍ HAPTOGLOBINU                            </t>
  </si>
  <si>
    <t>93193</t>
  </si>
  <si>
    <t>THYMIDINKINÁZA</t>
  </si>
  <si>
    <t>81675</t>
  </si>
  <si>
    <t xml:space="preserve">MIKROALBUMINURIE                                  </t>
  </si>
  <si>
    <t>MIKROALBUMINURIE</t>
  </si>
  <si>
    <t>93183</t>
  </si>
  <si>
    <t>SEXUÁLNÍ HORMONY VÁZAJÍCÍ GLOBULIN (SHBG)</t>
  </si>
  <si>
    <t>81423</t>
  </si>
  <si>
    <t>FOSFATÁZA ALKALICKÁ IZOENZYMY</t>
  </si>
  <si>
    <t>81123</t>
  </si>
  <si>
    <t>BILIRUBIN KONJUGOVANÝ STATIM</t>
  </si>
  <si>
    <t xml:space="preserve">BILIRUBIN KONJUGOVANÝ STATIM                      </t>
  </si>
  <si>
    <t>81475</t>
  </si>
  <si>
    <t xml:space="preserve">CHOLINESTERÁZA                                    </t>
  </si>
  <si>
    <t>CHOLINESTERÁZA</t>
  </si>
  <si>
    <t>93185</t>
  </si>
  <si>
    <t xml:space="preserve">TRIJODTYRONIN CELKOVÝ (TT3)                       </t>
  </si>
  <si>
    <t>TRIJODTYRONIN CELKOVÝ (TT3)</t>
  </si>
  <si>
    <t>93135</t>
  </si>
  <si>
    <t xml:space="preserve">MYOGLOBIN V SÉRII                                 </t>
  </si>
  <si>
    <t>MYOGLOBIN V SÉRII</t>
  </si>
  <si>
    <t>81165</t>
  </si>
  <si>
    <t xml:space="preserve">KREATINKINÁZA (CK) STATIM                         </t>
  </si>
  <si>
    <t>KREATINKINÁZA (CK) STATIM</t>
  </si>
  <si>
    <t>81233</t>
  </si>
  <si>
    <t xml:space="preserve">KARBONYLHEMOGLOBIN KVANTITATIVNĚ                  </t>
  </si>
  <si>
    <t>KARBONYLHEMOGLOBIN KVANTITATIVNĚ</t>
  </si>
  <si>
    <t>91169</t>
  </si>
  <si>
    <t>STANOVENÍ LEHKÝCH ŘETĚZCŮ LAMBDA</t>
  </si>
  <si>
    <t>93223</t>
  </si>
  <si>
    <t xml:space="preserve">NÁDOROVÉ ANTIGENY CA - TYPU                       </t>
  </si>
  <si>
    <t>81129</t>
  </si>
  <si>
    <t>BÍLKOVINA KVANTITATIVNĚ (MOČ, VÝPOTEK, CSF) STATIM</t>
  </si>
  <si>
    <t>81159</t>
  </si>
  <si>
    <t>CHOLINESTERÁZA STATIM</t>
  </si>
  <si>
    <t xml:space="preserve">CHOLINESTERÁZA STATIM                             </t>
  </si>
  <si>
    <t>81395</t>
  </si>
  <si>
    <t>ELEKTROFORÉZA PROTEINŮ (MOČ, MOZKOMÍŠNÍ MOK)</t>
  </si>
  <si>
    <t>93139</t>
  </si>
  <si>
    <t>ADRENOKORTIKOTROPIN (ACTH)</t>
  </si>
  <si>
    <t xml:space="preserve">ADRENOKORTIKOTROPIN (ACTH)                        </t>
  </si>
  <si>
    <t>91151</t>
  </si>
  <si>
    <t xml:space="preserve">STANOVENÍ OROSOMUKOIDU                            </t>
  </si>
  <si>
    <t>91195</t>
  </si>
  <si>
    <t xml:space="preserve">STANOVENÍ C - REAKTIVNÍHO PROTEINU ELISA          </t>
  </si>
  <si>
    <t>STANOVENÍ C - REAKTIVNÍHO PROTEINU ELISA</t>
  </si>
  <si>
    <t>81773</t>
  </si>
  <si>
    <t xml:space="preserve">KREATINKINÁZA IZOENZYMY CK-MB MASS                </t>
  </si>
  <si>
    <t>KREATINKINÁZA IZOENZYMY CK-MB MASS</t>
  </si>
  <si>
    <t>81775</t>
  </si>
  <si>
    <t xml:space="preserve">KVANTITATIVNÍ ANALÝZA MOCE                        </t>
  </si>
  <si>
    <t>KVANTITATIVNÍ ANALÝZA MOCE</t>
  </si>
  <si>
    <t>81769</t>
  </si>
  <si>
    <t>KVANTITATIVNÍ STANOVENI HOLOTRANSKOBALAMINU /HOLOT</t>
  </si>
  <si>
    <t>81765</t>
  </si>
  <si>
    <t>CHROMOGRANIN A - STANOVENÍ KONCENTRACE V SÉRU NEBO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</si>
  <si>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</si>
  <si>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</si>
  <si>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</si>
  <si>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</si>
  <si>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</si>
  <si>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</si>
  <si>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81763</t>
  </si>
  <si>
    <t xml:space="preserve">STANOVENÍ NGAL V MOČI                             </t>
  </si>
  <si>
    <t>STANOVENÍ NGAL V MOČI</t>
  </si>
  <si>
    <t>81757</t>
  </si>
  <si>
    <t>SEMIKVANTITATIVNÍ FLUORIMETRICKÉ STANOVENÍ BIOTINI</t>
  </si>
  <si>
    <t>813</t>
  </si>
  <si>
    <t>91197</t>
  </si>
  <si>
    <t xml:space="preserve">STANOVENÍ CYTOKINU ELISA                          </t>
  </si>
  <si>
    <t>STANOVENÍ CYTOKINU ELISA</t>
  </si>
  <si>
    <t>34</t>
  </si>
  <si>
    <t>0003132</t>
  </si>
  <si>
    <t>GADOVIST</t>
  </si>
  <si>
    <t>0003134</t>
  </si>
  <si>
    <t>0017039</t>
  </si>
  <si>
    <t>0022075</t>
  </si>
  <si>
    <t>IOMERON 400</t>
  </si>
  <si>
    <t>0042433</t>
  </si>
  <si>
    <t>0059494</t>
  </si>
  <si>
    <t>LIPIODOL ULTRA-FLUIDE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</si>
  <si>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</si>
  <si>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</si>
  <si>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</si>
  <si>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</si>
  <si>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</si>
  <si>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</si>
  <si>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</si>
  <si>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</si>
  <si>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</si>
  <si>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0224707</t>
  </si>
  <si>
    <t>0224716</t>
  </si>
  <si>
    <t>0224696</t>
  </si>
  <si>
    <t>0034038</t>
  </si>
  <si>
    <t>JEHLA BIOPTICKÁ ASPIRAČNÍ, CHIBA,ECHOTIP</t>
  </si>
  <si>
    <t>0034283</t>
  </si>
  <si>
    <t>JEHLA K LOKALIZACI PRSNÍCH LÉZÍ, X-REIDY</t>
  </si>
  <si>
    <t>0038462</t>
  </si>
  <si>
    <t>0038471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</si>
  <si>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</si>
  <si>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</si>
  <si>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</si>
  <si>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</si>
  <si>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</si>
  <si>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</si>
  <si>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0046543</t>
  </si>
  <si>
    <t>MIKROKAT PERIF. KORON. NEURO: EXCELSIOR SL-10; NEU</t>
  </si>
  <si>
    <t>0047480</t>
  </si>
  <si>
    <t>KATETR BALÓNKOVÝ PTCA</t>
  </si>
  <si>
    <t>0047648</t>
  </si>
  <si>
    <t>KATETR ANGIOGRAFICKÝ OUTLOOK RQ-4</t>
  </si>
  <si>
    <t>0048264</t>
  </si>
  <si>
    <t>DRÁT NEUROINTERVENČNÍ</t>
  </si>
  <si>
    <t>0048307</t>
  </si>
  <si>
    <t>STENTGRAFT PERIFERNÍ VASKULÁRNÍ - FLUENCY; SAMOEXP</t>
  </si>
  <si>
    <t>0048523</t>
  </si>
  <si>
    <t>DRÁT VODÍCÍ PTA - SELECTIVA; INTERVENČNÍ 60/80/145</t>
  </si>
  <si>
    <t>0048668</t>
  </si>
  <si>
    <t>DRÁT VODÍCÍ NITINOL</t>
  </si>
  <si>
    <t>0049926</t>
  </si>
  <si>
    <t>STENT PERIFERNÍ VASKULÁRNÍ; BILIÁRNÍ - ABSOLUTE.03</t>
  </si>
  <si>
    <t>0050237</t>
  </si>
  <si>
    <t>DRÁT VODÍCÍ CHOICE PLUS</t>
  </si>
  <si>
    <t>0052140</t>
  </si>
  <si>
    <t>KATETR BALÓNKOVÝ PTA - WANDA; SMASH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</si>
  <si>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</si>
  <si>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</si>
  <si>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</si>
  <si>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</si>
  <si>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</si>
  <si>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</si>
  <si>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</si>
  <si>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</si>
  <si>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</si>
  <si>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</si>
  <si>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</si>
  <si>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</si>
  <si>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</si>
  <si>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</si>
  <si>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</si>
  <si>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</si>
  <si>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</si>
  <si>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</si>
  <si>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</si>
  <si>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</si>
  <si>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0056476</t>
  </si>
  <si>
    <t>STENTGRAFT KORONÁRNÍ - GRAFTMASTER RX</t>
  </si>
  <si>
    <t>0057298</t>
  </si>
  <si>
    <t>STENT PERIFERNÍ VASKULÁRNÍ - E-LUMINEXX; SAMOEXPAN</t>
  </si>
  <si>
    <t>0057418</t>
  </si>
  <si>
    <t>DRÁT VODÍCÍ 300CM M001468XX0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</si>
  <si>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</si>
  <si>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</si>
  <si>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</si>
  <si>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</si>
  <si>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</si>
  <si>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</si>
  <si>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</si>
  <si>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</si>
  <si>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</si>
  <si>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</si>
  <si>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</si>
  <si>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0057840</t>
  </si>
  <si>
    <t>TĚLÍSKO EMBOLIZAČNÍ IMWCE</t>
  </si>
  <si>
    <t>0057999</t>
  </si>
  <si>
    <t>SPIRÁLA GDC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</si>
  <si>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</si>
  <si>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</si>
  <si>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</si>
  <si>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</si>
  <si>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</si>
  <si>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</si>
  <si>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0059579</t>
  </si>
  <si>
    <t>STENTGRAFT PERIF VASKULÁRNÍ - GORE VIATORR TIPS; K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</si>
  <si>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</si>
  <si>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</si>
  <si>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</si>
  <si>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</si>
  <si>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</si>
  <si>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</si>
  <si>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</si>
  <si>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</si>
  <si>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0092284</t>
  </si>
  <si>
    <t>STENT PERIFERNÍ VASKULÁRNÍ - ASTRON; SAMOEXPAND; N</t>
  </si>
  <si>
    <t>0092559</t>
  </si>
  <si>
    <t>SADA AG - SYSTÉM PRO UZAVÍRÁNÍ CÉV - FEMORÁLNÍ - S</t>
  </si>
  <si>
    <t>0092932</t>
  </si>
  <si>
    <t>SADA DRENÁŽNÍ</t>
  </si>
  <si>
    <t>0094736</t>
  </si>
  <si>
    <t>STENT PERIFERNÍ VASKULÁRNÍ - EPIC; SAMOEXPANDIBILN</t>
  </si>
  <si>
    <t>0141815</t>
  </si>
  <si>
    <t>STENT PERIFERNĺ VASKULÁRNÍ - OMNILINK ELITE ; BALO</t>
  </si>
  <si>
    <t>0192087</t>
  </si>
  <si>
    <t>STENTGRAFT AORTÁLNÍ BŘIŠNÍ - ZENITH FLEX AUI; TĚLO</t>
  </si>
  <si>
    <t>0192089</t>
  </si>
  <si>
    <t>STENTGRAFT AORTÁLNÍ BŘIŠNÍ - ZENITH LP - BIFURKAČN</t>
  </si>
  <si>
    <t>0193339</t>
  </si>
  <si>
    <t>STENTGRAFT AORTÁLNÍ BŘIŠNÍ - ZENITH - NOHA SPIRÁLN</t>
  </si>
  <si>
    <t>0151536</t>
  </si>
  <si>
    <t xml:space="preserve">DRÁT VODÍCÍ PTA - BTK - TREASURE 12/FLOPPY;ASTATO </t>
  </si>
  <si>
    <t>0051244</t>
  </si>
  <si>
    <t>KATETR VODÍCÍ GUIDER</t>
  </si>
  <si>
    <t>0052146</t>
  </si>
  <si>
    <t>EXTRAKTOR - AMPLATZ GOOSE NECK SET SKXXX - PERIFER</t>
  </si>
  <si>
    <t>0111638</t>
  </si>
  <si>
    <t>STENT PERIFERNÍ VASKUL. - ISTHMUS LOGIC CARBOSTENT</t>
  </si>
  <si>
    <t>0059796</t>
  </si>
  <si>
    <t>DRÁT VODÍCÍ ANGIODYN J3 SFC-FS 150-0,35</t>
  </si>
  <si>
    <t>0057846</t>
  </si>
  <si>
    <t>TĚLÍSKO EMBOLIZAČNÍ HILAL</t>
  </si>
  <si>
    <t>0054478</t>
  </si>
  <si>
    <t>STENTGRAFT AORTÁLNÍ BŘIŠNÍ - ZENITH FLEX AAA; BIFU</t>
  </si>
  <si>
    <t>0092131</t>
  </si>
  <si>
    <t>KATETR BALÓNKOVÝ PTA - RX MUSO</t>
  </si>
  <si>
    <t>0047805</t>
  </si>
  <si>
    <t>SADA AG-JEHLA ANGIOGRAFICKÁ</t>
  </si>
  <si>
    <t>0059986</t>
  </si>
  <si>
    <t>SYSTÉM BALÓN UZÁVĚROVÝ EQUINOX 104-4011..104-4470</t>
  </si>
  <si>
    <t>0049005</t>
  </si>
  <si>
    <t>KATETR TROMBEKTOMICKÝ - ROTAREX-ANTEGRADNÍ(KATETR,</t>
  </si>
  <si>
    <t>0051173</t>
  </si>
  <si>
    <t>VODIČ - PTA-SPECIÁLNÍ(DILATAČNÍ,REKANALIZAČNÍ)-OUT</t>
  </si>
  <si>
    <t>0151946</t>
  </si>
  <si>
    <t>STENTGRAFT PERIFERNÍ VASKULÁRNÍ - GORE VIABAHN; SA</t>
  </si>
  <si>
    <t>0152417</t>
  </si>
  <si>
    <t>STENT PERIFERNÍ VASKULÁRNÍ - LIFESTREAM; POTAH PTF</t>
  </si>
  <si>
    <t>0034083</t>
  </si>
  <si>
    <t>JEHLA BIOPTICKÁ ASPIRAČNÍ PLICNÍ, FRANSEENOVA,ECHO</t>
  </si>
  <si>
    <t>0092011</t>
  </si>
  <si>
    <t>BALÓNEK DILATAČNÍ - JÍCNOVÝ</t>
  </si>
  <si>
    <t>0152522</t>
  </si>
  <si>
    <t>STENT PERIFERNÍ VASKULÁRNÍ - RADIX2; BALONEXPANDIB</t>
  </si>
  <si>
    <t>0151036</t>
  </si>
  <si>
    <t>KATETR BALÓNKOVÝ PTA - ADVANCE; 4F/80,135CM</t>
  </si>
  <si>
    <t>0056358</t>
  </si>
  <si>
    <t>0056396</t>
  </si>
  <si>
    <t>ZAVADĚČ CHECK-FLO III BLUE TYP MULLINS RADIOOPÁKNÍ</t>
  </si>
  <si>
    <t>89113</t>
  </si>
  <si>
    <t>RTG LEBKY, CÍLENÉ SNÍMKY</t>
  </si>
  <si>
    <t xml:space="preserve">RTG LEBKY, CÍLENÉ SNÍMKY                          </t>
  </si>
  <si>
    <t>89117</t>
  </si>
  <si>
    <t>RTG KRKU A KRČNÍ PÁTEŘE</t>
  </si>
  <si>
    <t xml:space="preserve">RTG KRKU A KRČNÍ PÁTEŘE                           </t>
  </si>
  <si>
    <t>89119</t>
  </si>
  <si>
    <t>RTG HRUDNÍ NEBO BEDERNÍ PÁTEŘE</t>
  </si>
  <si>
    <t xml:space="preserve">RTG HRUDNÍ NEBO BEDERNÍ PÁTEŘE                    </t>
  </si>
  <si>
    <t>89123</t>
  </si>
  <si>
    <t xml:space="preserve">RTG PÁNVE NEBO KYČELNÍHO KLOUBU                   </t>
  </si>
  <si>
    <t>RTG PÁNVE NEBO KYČELNÍHO KLOUBU</t>
  </si>
  <si>
    <t>89127</t>
  </si>
  <si>
    <t xml:space="preserve">RTG KOSTÍ A KLOUBŮ KONČETIN                       </t>
  </si>
  <si>
    <t>RTG KOSTÍ A KLOUBŮ KONČETIN</t>
  </si>
  <si>
    <t>89129</t>
  </si>
  <si>
    <t>RTG ŽEBER A STERNA</t>
  </si>
  <si>
    <t>89143</t>
  </si>
  <si>
    <t>RTG BŘICHA</t>
  </si>
  <si>
    <t xml:space="preserve">RTG BŘICHA                                        </t>
  </si>
  <si>
    <t>89147</t>
  </si>
  <si>
    <t>RTG ŽALUDKU A DUODENA</t>
  </si>
  <si>
    <t xml:space="preserve">RTG ŽALUDKU A DUODENA                             </t>
  </si>
  <si>
    <t>89317</t>
  </si>
  <si>
    <t xml:space="preserve">SELEKTIVNÍ TROMBOLÝZA                             </t>
  </si>
  <si>
    <t>89323</t>
  </si>
  <si>
    <t>TERAPEUTICKÁ EMBOLIZACE V CÉVNÍM ŘEČIŠTI</t>
  </si>
  <si>
    <t xml:space="preserve">TERAPEUTICKÁ EMBOLIZACE V CÉVNÍM ŘEČIŠTI          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</si>
  <si>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</si>
  <si>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</si>
  <si>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</si>
  <si>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</si>
  <si>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</si>
  <si>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</si>
  <si>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</si>
  <si>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</si>
  <si>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</si>
  <si>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</si>
  <si>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 xml:space="preserve">PUNKČNÍ ANGIOGRAFIE                               </t>
  </si>
  <si>
    <t>PUNKČNÍ ANGIOGRAFIE</t>
  </si>
  <si>
    <t>89423</t>
  </si>
  <si>
    <t xml:space="preserve">PERKUTÁNNÍ TRANSLUMINÁLNÍ ANGIOPLASTIKA           </t>
  </si>
  <si>
    <t>PERKUTÁNNÍ TRANSLUMINÁLNÍ ANGIOPLASTIKA</t>
  </si>
  <si>
    <t>89453</t>
  </si>
  <si>
    <t xml:space="preserve">PERKUTÁNNÍ TRANSHEPATÁLNÍ CHOLANGIOGRAFIE         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</si>
  <si>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</si>
  <si>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</si>
  <si>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</si>
  <si>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</si>
  <si>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</si>
  <si>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</si>
  <si>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</si>
  <si>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</si>
  <si>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</si>
  <si>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</si>
  <si>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</si>
  <si>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</si>
  <si>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 xml:space="preserve">RTG HRUDNÍKU                                      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</si>
  <si>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</si>
  <si>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</si>
  <si>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</si>
  <si>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</si>
  <si>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</si>
  <si>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 xml:space="preserve">OPAKOVANÉ ČI DOPLŇUJÍCÍ VYŠETŘENÍ MR              </t>
  </si>
  <si>
    <t>89715</t>
  </si>
  <si>
    <t>MR ZOBRAZENÍ KRKU, HRUDNÍKU, BŘICHA, PÁNVE (VČETNĚ</t>
  </si>
  <si>
    <t>89151</t>
  </si>
  <si>
    <t>PASÁŽ TRÁVICÍ TRUBICÍ</t>
  </si>
  <si>
    <t xml:space="preserve">PASÁŽ TRÁVICÍ TRUBICÍ                             </t>
  </si>
  <si>
    <t>89331</t>
  </si>
  <si>
    <t xml:space="preserve">ZAVEDENÍ STENTU DO TEPENNÉHO ČI ŽILNÍHO ŘEČIŠTĚ   </t>
  </si>
  <si>
    <t>ZAVEDENÍ STENTU DO TEPENNÉHO ČI ŽILNÍHO ŘEČIŠTĚ</t>
  </si>
  <si>
    <t>89111</t>
  </si>
  <si>
    <t>RTG PRSTŮ A ZÁPRSTNÍCH KŮSTEK RUKY NEBO NOHY</t>
  </si>
  <si>
    <t xml:space="preserve">RTG PRSTŮ A ZÁPRSTNÍCH KŮSTEK RUKY NEBO NOHY      </t>
  </si>
  <si>
    <t>89125</t>
  </si>
  <si>
    <t xml:space="preserve">RTG RAMENNÍHO KLOUBU                              </t>
  </si>
  <si>
    <t>RTG RAMENNÍHO KLOUBU</t>
  </si>
  <si>
    <t>89201</t>
  </si>
  <si>
    <t>SKIASKOPIE NA OPERAČNÍM ČI ZÁKROKOVÉM SÁLE MOBILNÍ</t>
  </si>
  <si>
    <t>89145</t>
  </si>
  <si>
    <t>RTG JÍCNU</t>
  </si>
  <si>
    <t xml:space="preserve">RTG JÍCNU                                         </t>
  </si>
  <si>
    <t>89115</t>
  </si>
  <si>
    <t>RTG LEBKY, PŘEHLEDNÉ SNÍMKY</t>
  </si>
  <si>
    <t xml:space="preserve">RTG LEBKY, PŘEHLEDNÉ SNÍMKY                       </t>
  </si>
  <si>
    <t>89161</t>
  </si>
  <si>
    <t>CHOLANGIOGRAFIE PEROPERAČNÍ NEBO T-DRÉNEM</t>
  </si>
  <si>
    <t xml:space="preserve">CHOLANGIOGRAFIE PEROPERAČNÍ NEBO T-DRÉNEM         </t>
  </si>
  <si>
    <t>89611</t>
  </si>
  <si>
    <t>CT VYŠETŘENÍ HLAVY NEBO TĚLA NATIVNÍ A KONTRASTNÍ</t>
  </si>
  <si>
    <t xml:space="preserve">CT VYŠETŘENÍ HLAVY NEBO TĚLA NATIVNÍ A KONTRASTNÍ </t>
  </si>
  <si>
    <t>89415</t>
  </si>
  <si>
    <t>89121</t>
  </si>
  <si>
    <t>RTG KŘÍŽOVÉ KOSTI A SI KLOUBŮ</t>
  </si>
  <si>
    <t>89155</t>
  </si>
  <si>
    <t xml:space="preserve">RTG VYŠETŘENÍ TLUSTÉHO STŘEVA                     </t>
  </si>
  <si>
    <t>RTG VYŠETŘENÍ TLUSTÉHO STŘEVA</t>
  </si>
  <si>
    <t>89411</t>
  </si>
  <si>
    <t>PŘEHLEDNÁ  ČI SELEKTIVNÍ ANGIOGRAFIE</t>
  </si>
  <si>
    <t xml:space="preserve">PŘEHLEDNÁ  ČI SELEKTIVNÍ ANGIOGRAFIE              </t>
  </si>
  <si>
    <t>89335</t>
  </si>
  <si>
    <t xml:space="preserve">ZAVEDENÍ LOKALIZÁTORU K NEHMATNÝM LOŽISKŮM VČETNĚ </t>
  </si>
  <si>
    <t>89325</t>
  </si>
  <si>
    <t>PERKUTÁNNÍ DRENÁŽ ABSCESU, CYSTY EV. JINÉ DUTINY R</t>
  </si>
  <si>
    <t>89441</t>
  </si>
  <si>
    <t xml:space="preserve">KATETRIZACE JATERNÍCH ŽIL                         </t>
  </si>
  <si>
    <t>89421</t>
  </si>
  <si>
    <t xml:space="preserve">MĚŘENÍ TLAKU PŘI ANGIOGRAFII                      </t>
  </si>
  <si>
    <t>89189</t>
  </si>
  <si>
    <t>FISTULOGRAFIE</t>
  </si>
  <si>
    <t>89180</t>
  </si>
  <si>
    <t>DIAGNOSTICKÁ DIGITÁLNÍ MAMOGRAFIE NEBO DUKTOGRAFIE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</si>
  <si>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</si>
  <si>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</si>
  <si>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</si>
  <si>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</si>
  <si>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</si>
  <si>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</si>
  <si>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</si>
  <si>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</si>
  <si>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</si>
  <si>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 xml:space="preserve">UPŘESNĚNÍ TYPU SENZIBILIZACE ERYTROCYTŮ           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</si>
  <si>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</si>
  <si>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</si>
  <si>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</si>
  <si>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</si>
  <si>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</si>
  <si>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</si>
  <si>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 xml:space="preserve">TITRACE ANTIERYTROCYTÁRNÍCH PROTILÁTEK            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</si>
  <si>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</si>
  <si>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</si>
  <si>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</si>
  <si>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</si>
  <si>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</si>
  <si>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</si>
  <si>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</si>
  <si>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</si>
  <si>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</si>
  <si>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</si>
  <si>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</si>
  <si>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</si>
  <si>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</si>
  <si>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</si>
  <si>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</si>
  <si>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 xml:space="preserve">VYŠETŘENÍ KREVNÍ SKUPINY ABO, RH (D) V SÉRII      </t>
  </si>
  <si>
    <t>VYŠETŘENÍ KREVNÍ SKUPINY ABO, RH (D) V SÉRII</t>
  </si>
  <si>
    <t>22117</t>
  </si>
  <si>
    <t>22131</t>
  </si>
  <si>
    <t>VYŠETŘENÍ CHLADOVÝCH AGLUTININŮ</t>
  </si>
  <si>
    <t xml:space="preserve">VYŠETŘENÍ CHLADOVÝCH AGLUTININŮ                   </t>
  </si>
  <si>
    <t>22347</t>
  </si>
  <si>
    <t>IDENTIFIKACE ANTIERYTROCYTÁRNÍCH PROTILÁTEK - SLOU</t>
  </si>
  <si>
    <t>22133</t>
  </si>
  <si>
    <t>PŘÍMÝ ANTIGLOBULINOVÝ TEST</t>
  </si>
  <si>
    <t xml:space="preserve">PŘÍMÝ ANTIGLOBULINOVÝ TEST                        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</si>
  <si>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</si>
  <si>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</si>
  <si>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</si>
  <si>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</si>
  <si>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</si>
  <si>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</si>
  <si>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</si>
  <si>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</si>
  <si>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</si>
  <si>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</si>
  <si>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</si>
  <si>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</si>
  <si>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</si>
  <si>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</si>
  <si>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</si>
  <si>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</si>
  <si>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</si>
  <si>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</si>
  <si>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</si>
  <si>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</si>
  <si>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</si>
  <si>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</si>
  <si>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</si>
  <si>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</si>
  <si>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 xml:space="preserve">IMUNOHISTOCHEMIE (ZA KAŽDÝ MARKER Z 1 BLOKU)      </t>
  </si>
  <si>
    <t>87233</t>
  </si>
  <si>
    <t xml:space="preserve">METODA POLOTENKÝCH ŘEZŮ Z UMĚL. PRYSKYŘIC         </t>
  </si>
  <si>
    <t>METODA POLOTENKÝCH ŘEZŮ Z UMĚL. PRYSKYŘIC</t>
  </si>
  <si>
    <t>87413</t>
  </si>
  <si>
    <t>CYTOLOGICKÉ OTISKY A STĚRY -  ZA 1-3 PREPARÁTY</t>
  </si>
  <si>
    <t xml:space="preserve">CYTOLOGICKÉ OTISKY A STĚRY -  ZA 1-3 PREPARÁTY    </t>
  </si>
  <si>
    <t>87427</t>
  </si>
  <si>
    <t>CYTOLOGICKÉ NÁTĚRY  NECENTRIFUGOVANÉ TEKUTINY - 4-</t>
  </si>
  <si>
    <t>87431</t>
  </si>
  <si>
    <t xml:space="preserve">PREPARÁTY METODOU CYTOBLOKU - ZA KAŽDÝ PREPARÁT   </t>
  </si>
  <si>
    <t>PREPARÁTY METODOU CYTOBLOKU - ZA KAŽDÝ PREPARÁT</t>
  </si>
  <si>
    <t>87433</t>
  </si>
  <si>
    <t xml:space="preserve">STANDARDNÍ CYTOLOGICKÉ BARVENÍ,  ZA 1-3 PREPARÁTY </t>
  </si>
  <si>
    <t>STANDARDNÍ CYTOLOGICKÉ BARVENÍ,  ZA 1-3 PREPARÁTY</t>
  </si>
  <si>
    <t>87447</t>
  </si>
  <si>
    <t xml:space="preserve">CYTOLOGICKÉ PREPARÁTY ZHOTOVENÉ CYTOCENTRIFUGOU   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</si>
  <si>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</si>
  <si>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</si>
  <si>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</si>
  <si>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</si>
  <si>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</si>
  <si>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</si>
  <si>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</si>
  <si>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</si>
  <si>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 xml:space="preserve">FOTOGRAFIE GELU                                  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</si>
  <si>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</si>
  <si>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</si>
  <si>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</si>
  <si>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</si>
  <si>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</si>
  <si>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 xml:space="preserve">STANOVENÍ BIOPTICKÉ DIAGNÓZY I. STUPNĚ OBTÍŽNOSTI 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</si>
  <si>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</si>
  <si>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</si>
  <si>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</si>
  <si>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</si>
  <si>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</si>
  <si>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</si>
  <si>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</si>
  <si>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</si>
  <si>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</si>
  <si>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</si>
  <si>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</si>
  <si>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</si>
  <si>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</si>
  <si>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</si>
  <si>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 xml:space="preserve">CYTOLOGICKÉ OTISKY A STĚRY -  ZA 4-10 PREPARÁTŮ   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</si>
  <si>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</si>
  <si>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</si>
  <si>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</si>
  <si>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</si>
  <si>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</si>
  <si>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</si>
  <si>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</si>
  <si>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</si>
  <si>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</si>
  <si>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</si>
  <si>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</si>
  <si>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 xml:space="preserve">VYŠETŘENÍ MORFOMETRICKÉ - ZA KAŽDÝ PARAMETR       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</si>
  <si>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</si>
  <si>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</si>
  <si>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</si>
  <si>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</si>
  <si>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</si>
  <si>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</si>
  <si>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 xml:space="preserve">HISTOTOPOGRAM (5 X 5 CM A VĚTŠÍ)                  </t>
  </si>
  <si>
    <t>87011</t>
  </si>
  <si>
    <t>KONZULTACE NÁLEZU PATOLOGEM CÍLENÁ NA ŽÁDOST OŠETŘ</t>
  </si>
  <si>
    <t>99790</t>
  </si>
  <si>
    <t xml:space="preserve">(VZP) EXPRESE HER2-IHC                            </t>
  </si>
  <si>
    <t>(VZP) EXPRESE HER2-IHC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</si>
  <si>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</si>
  <si>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</si>
  <si>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</si>
  <si>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</si>
  <si>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</si>
  <si>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</si>
  <si>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</si>
  <si>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</si>
  <si>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</si>
  <si>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</si>
  <si>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</si>
  <si>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</si>
  <si>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</si>
  <si>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 xml:space="preserve">IDENTIFIKACE KMENE ORIENTAČNÍ JEDNODUCHÝM TESTEM  </t>
  </si>
  <si>
    <t>IDENTIFIKACE KMENE ORIENTAČNÍ JEDNODUCHÝM TESTEM</t>
  </si>
  <si>
    <t>82087</t>
  </si>
  <si>
    <t>STANOVENÍ PROTILÁTEK AGLUTINACÍ</t>
  </si>
  <si>
    <t xml:space="preserve">STANOVENÍ PROTILÁTEK AGLUTINACÍ                   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</si>
  <si>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</si>
  <si>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</si>
  <si>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</si>
  <si>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</si>
  <si>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</si>
  <si>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</si>
  <si>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</si>
  <si>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</si>
  <si>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</si>
  <si>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</si>
  <si>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 xml:space="preserve">KULTIVAČNÍ VYŠETŘENÍ NA MYKOBAKTERIA              </t>
  </si>
  <si>
    <t>82221</t>
  </si>
  <si>
    <t>KULTIVAČNÍ VYŠETŘENÍ NA MYKOBAKTERIA RYCHLOU KULTI</t>
  </si>
  <si>
    <t>98111</t>
  </si>
  <si>
    <t>MYKOLOGICKÉ VYŠETŘENÍ KULTIVAČNÍ</t>
  </si>
  <si>
    <t xml:space="preserve">MYKOLOGICKÉ VYŠETŘENÍ KULTIVAČNÍ                  </t>
  </si>
  <si>
    <t>98117</t>
  </si>
  <si>
    <t xml:space="preserve">CÍLENÁ IDENTIFIKACE CANDIDA ALBICANS              </t>
  </si>
  <si>
    <t>CÍLENÁ IDENTIFIKACE CANDIDA ALBICANS</t>
  </si>
  <si>
    <t>82065</t>
  </si>
  <si>
    <t xml:space="preserve">STANOVENÍ CITLIVOSTI NA ATB KVANTITATIVNÍ METODOU </t>
  </si>
  <si>
    <t>82003</t>
  </si>
  <si>
    <t>TELEFONICKÁ KONZULTACE K MIKROBIOLOGICKÉMU, PARAZI</t>
  </si>
  <si>
    <t>82025</t>
  </si>
  <si>
    <t>KULTIVAČNÍ VYŠETŘENÍ NA GO</t>
  </si>
  <si>
    <t xml:space="preserve">KULTIVAČNÍ VYŠETŘENÍ NA GO                        </t>
  </si>
  <si>
    <t>82069</t>
  </si>
  <si>
    <t xml:space="preserve">STANOVENÍ PRODUKCE BETA-LAKTAMÁZY                 </t>
  </si>
  <si>
    <t>STANOVENÍ PRODUKCE BETA-LAKTAMÁZY</t>
  </si>
  <si>
    <t>82063</t>
  </si>
  <si>
    <t xml:space="preserve">STANOVENÍ CITLIVOSTI NA ATB KVALITATIVNÍ METODOU  </t>
  </si>
  <si>
    <t>STANOVENÍ CITLIVOSTI NA ATB KVALITATIVNÍ METODOU</t>
  </si>
  <si>
    <t>98119</t>
  </si>
  <si>
    <t xml:space="preserve">IDENTIFIKACE VLÁKNITÝCH HUB                       </t>
  </si>
  <si>
    <t>IDENTIFIKACE VLÁKNITÝCH HUB</t>
  </si>
  <si>
    <t>91399</t>
  </si>
  <si>
    <t>CHARAKTERISTIKA ANTIGENŮ A PROTILÁTEK ELEKTROFORÉZ</t>
  </si>
  <si>
    <t>82083</t>
  </si>
  <si>
    <t xml:space="preserve">PRŮKAZ BAKTERIÁLNÍHO TOXINU NEBO ANTIGENU         </t>
  </si>
  <si>
    <t>PRŮKAZ BAKTERIÁLNÍHO TOXINU NEBO ANTIGENU</t>
  </si>
  <si>
    <t>91419</t>
  </si>
  <si>
    <t xml:space="preserve">AUTOVAKCÍNA BAKTERIÁLNÍ PRO PERORÁLNÍ PODÁNÍ (4-6 </t>
  </si>
  <si>
    <t>82123</t>
  </si>
  <si>
    <t>PRŮKAZ BAKTERIÁLNÍHO, VIROVÉHO, PARAZITÁRNÍHO, EVE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</si>
  <si>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</si>
  <si>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</si>
  <si>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</si>
  <si>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</si>
  <si>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</si>
  <si>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</si>
  <si>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 xml:space="preserve">IZOLACE DNA PRO VYŠETŘENÍ EXTRAHUMÁNNÍHO GENOMU   </t>
  </si>
  <si>
    <t>82040</t>
  </si>
  <si>
    <t>IZOLACE RNA A TRANSKRIPCE PRO VYŠETŘENÍ EXTRAHUMÁN</t>
  </si>
  <si>
    <t>82060</t>
  </si>
  <si>
    <t>ANALÝZA HMOTOVÉHO SPEKTRA</t>
  </si>
  <si>
    <t xml:space="preserve">ANALÝZA HMOTOVÉHO SPEKTRA                         </t>
  </si>
  <si>
    <t>82066</t>
  </si>
  <si>
    <t xml:space="preserve">STANOVENÍ CITLIVOSTI NA ATB E-TESTEM              </t>
  </si>
  <si>
    <t>STANOVENÍ CITLIVOSTI NA ATB E-TESTEM</t>
  </si>
  <si>
    <t>82051</t>
  </si>
  <si>
    <t>MIKROSKOPICKÉ VYŠETŘENÍ PO FLUORESCENČNÍM BARVENÍ</t>
  </si>
  <si>
    <t>41</t>
  </si>
  <si>
    <t>86413</t>
  </si>
  <si>
    <t>SCREENING PROTILÁTEK NA PANELU 30TI DÁRCŮ</t>
  </si>
  <si>
    <t xml:space="preserve">SCREENING PROTILÁTEK NA PANELU 30TI DÁRCŮ         </t>
  </si>
  <si>
    <t>91111</t>
  </si>
  <si>
    <t>STANOVENÍ IgG1 RID</t>
  </si>
  <si>
    <t>91116</t>
  </si>
  <si>
    <t>STANOVENÍ IgG4 RID</t>
  </si>
  <si>
    <t>91131</t>
  </si>
  <si>
    <t xml:space="preserve">STANOVENÍ IgA                                     </t>
  </si>
  <si>
    <t>STANOVENÍ IgA</t>
  </si>
  <si>
    <t>91161</t>
  </si>
  <si>
    <t xml:space="preserve">STANOVENÍ C4 SLOŽKY KOMPLEMENTU                   </t>
  </si>
  <si>
    <t>STANOVENÍ C4 SLOŽKY KOMPLEMENTU</t>
  </si>
  <si>
    <t>91261</t>
  </si>
  <si>
    <t>STANOVENÍ ANTI ENA Ab ELISA</t>
  </si>
  <si>
    <t>91285</t>
  </si>
  <si>
    <t xml:space="preserve">STANOVENÍ REVMATOIDNÍHO FAKTORU IgM ELISA         </t>
  </si>
  <si>
    <t>STANOVENÍ REVMATOIDNÍHO FAKTORU IgM ELISA</t>
  </si>
  <si>
    <t>91287</t>
  </si>
  <si>
    <t>STANOVENÍ REVMATOIDNÍHO FAKTORU IgG ELISA</t>
  </si>
  <si>
    <t xml:space="preserve">STANOVENÍ REVMATOIDNÍHO FAKTORU IgG ELISA         </t>
  </si>
  <si>
    <t>91317</t>
  </si>
  <si>
    <t>PRŮKAZ ANTINUKLEÁRNÍCH PROTILÁTEK IF</t>
  </si>
  <si>
    <t>91501</t>
  </si>
  <si>
    <t>STANOVENÍ HLADIN REVMATOIDNÍHO FAKTORU (RF) NEFELO</t>
  </si>
  <si>
    <t>91323</t>
  </si>
  <si>
    <t>PRŮKAZ ANCA IF</t>
  </si>
  <si>
    <t>91355</t>
  </si>
  <si>
    <t xml:space="preserve">STANOVENÍ CIK METODOU PEG-IKEM                    </t>
  </si>
  <si>
    <t>STANOVENÍ CIK METODOU PEG-IKEM</t>
  </si>
  <si>
    <t>91189</t>
  </si>
  <si>
    <t xml:space="preserve">STANOVENÍ IgE                                     </t>
  </si>
  <si>
    <t>STANOVENÍ IgE</t>
  </si>
  <si>
    <t>91493</t>
  </si>
  <si>
    <t>IMUNOANALYTICKÉ STANOVENÍ AUTOPROTILÁTEK PROTI SPE</t>
  </si>
  <si>
    <t>91289</t>
  </si>
  <si>
    <t xml:space="preserve">STANOVENÍ REVMATOIDNÍHO FAKTORU IgA ELISA         </t>
  </si>
  <si>
    <t>STANOVENÍ REVMATOIDNÍHO FAKTORU IgA ELISA</t>
  </si>
  <si>
    <t>91115</t>
  </si>
  <si>
    <t>STANOVENÍ IgG3 RID</t>
  </si>
  <si>
    <t>91159</t>
  </si>
  <si>
    <t xml:space="preserve">STANOVENÍ C3 SLOŽKY KOMPLEMENTU                   </t>
  </si>
  <si>
    <t>STANOVENÍ C3 SLOŽKY KOMPLEMENTU</t>
  </si>
  <si>
    <t>91489</t>
  </si>
  <si>
    <t>IMUNOANALYTICKÉ STANOVENÍ AUTOPROTILÁTEK PROTI LKM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</si>
  <si>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</si>
  <si>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</si>
  <si>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</si>
  <si>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</si>
  <si>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</si>
  <si>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 RID</t>
  </si>
  <si>
    <t>86415</t>
  </si>
  <si>
    <t>SCREENING PROTILÁTEK NA PANELU 100 DÁRCŮ POMOCÍ DT</t>
  </si>
  <si>
    <t>91125</t>
  </si>
  <si>
    <t>STANOVENÍ INHIBITORU C1 ESTERÁZY RID</t>
  </si>
  <si>
    <t>91363</t>
  </si>
  <si>
    <t>STANOVENÍ AKTIVITY INHIBITORU C1 ESTERÁZY</t>
  </si>
  <si>
    <t>44</t>
  </si>
  <si>
    <t>94211</t>
  </si>
  <si>
    <t>DLOUHODOBÁ KULTIVACE BUNĚK RŮZNÝCH TKÁNÍ Z PRENATÁ</t>
  </si>
  <si>
    <t xml:space="preserve">IN SITU HYBRIDIZACE LIDSKÉ DNA SE ZNAČENOU SONDOU </t>
  </si>
  <si>
    <t>94123</t>
  </si>
  <si>
    <t xml:space="preserve">PCR ANALÝZA LIDSKÉ DNA                            </t>
  </si>
  <si>
    <t>94200</t>
  </si>
  <si>
    <t xml:space="preserve">(VZP) KVANTITATIVNÍ PCR (qPCR) V REÁLNÉM ČASE PRO </t>
  </si>
  <si>
    <t>99795</t>
  </si>
  <si>
    <t>(VZP) MUTACE BRAF</t>
  </si>
  <si>
    <t>99794</t>
  </si>
  <si>
    <t>(VZP) MUTACE EGFR</t>
  </si>
  <si>
    <t>99797</t>
  </si>
  <si>
    <t>(VZP) MUTACE NRAS</t>
  </si>
  <si>
    <t>99796</t>
  </si>
  <si>
    <t>(VZP) MUTACE KRAS</t>
  </si>
  <si>
    <t>94237</t>
  </si>
  <si>
    <t>FRAGMENTAČNÍ ANALÝZA LIDSKÉHO GERMINÁLNÍHO GENOMU</t>
  </si>
  <si>
    <t>94239</t>
  </si>
  <si>
    <t>FRAGMENTAČNÍ ANALÝZA LIDSKÉHO SOMATICKÉHO GENOMU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</si>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</sst>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876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0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4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8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45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59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4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6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0" xfId="0" applyFont="1" applyFill="1" applyBorder="1"/>
    <xf numFmtId="0" fontId="34" fillId="5" borderId="48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62" xfId="53" applyFont="1" applyFill="1" applyBorder="1" applyAlignment="1">
      <alignment horizontal="right"/>
    </xf>
    <xf numFmtId="164" fontId="33" fillId="0" borderId="67" xfId="53" applyNumberFormat="1" applyFont="1" applyFill="1" applyBorder="1"/>
    <xf numFmtId="164" fontId="33" fillId="0" borderId="68" xfId="53" applyNumberFormat="1" applyFont="1" applyFill="1" applyBorder="1"/>
    <xf numFmtId="9" fontId="33" fillId="0" borderId="69" xfId="83" applyNumberFormat="1" applyFont="1" applyFill="1" applyBorder="1"/>
    <xf numFmtId="3" fontId="33" fillId="0" borderId="69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8" xfId="26" applyFont="1" applyFill="1" applyBorder="1" applyAlignment="1">
      <alignment horizontal="right"/>
    </xf>
    <xf numFmtId="170" fontId="31" fillId="0" borderId="44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6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3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4" xfId="74" applyFont="1" applyFill="1" applyBorder="1" applyAlignment="1">
      <alignment horizontal="center"/>
    </xf>
    <xf numFmtId="0" fontId="29" fillId="5" borderId="40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73" xfId="26" applyNumberFormat="1" applyFont="1" applyFill="1" applyBorder="1"/>
    <xf numFmtId="3" fontId="31" fillId="7" borderId="56" xfId="26" applyNumberFormat="1" applyFont="1" applyFill="1" applyBorder="1"/>
    <xf numFmtId="167" fontId="33" fillId="7" borderId="61" xfId="86" applyNumberFormat="1" applyFont="1" applyFill="1" applyBorder="1" applyAlignment="1">
      <alignment horizontal="right"/>
    </xf>
    <xf numFmtId="3" fontId="31" fillId="7" borderId="74" xfId="26" applyNumberFormat="1" applyFont="1" applyFill="1" applyBorder="1"/>
    <xf numFmtId="167" fontId="33" fillId="7" borderId="61" xfId="86" applyNumberFormat="1" applyFont="1" applyFill="1" applyBorder="1"/>
    <xf numFmtId="3" fontId="31" fillId="0" borderId="73" xfId="26" applyNumberFormat="1" applyFont="1" applyFill="1" applyBorder="1" applyAlignment="1">
      <alignment horizontal="center"/>
    </xf>
    <xf numFmtId="3" fontId="31" fillId="0" borderId="61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3" fontId="31" fillId="7" borderId="61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8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1" xfId="0" applyNumberFormat="1" applyFont="1" applyFill="1" applyBorder="1"/>
    <xf numFmtId="3" fontId="41" fillId="2" borderId="53" xfId="0" applyNumberFormat="1" applyFont="1" applyFill="1" applyBorder="1"/>
    <xf numFmtId="9" fontId="41" fillId="2" borderId="58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55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0" xfId="0" applyFont="1" applyFill="1" applyBorder="1" applyAlignment="1">
      <alignment horizontal="left" indent="2"/>
    </xf>
    <xf numFmtId="0" fontId="34" fillId="0" borderId="40" xfId="0" applyFont="1" applyBorder="1" applyAlignment="1"/>
    <xf numFmtId="3" fontId="34" fillId="0" borderId="40" xfId="0" applyNumberFormat="1" applyFont="1" applyBorder="1" applyAlignment="1"/>
    <xf numFmtId="9" fontId="34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55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8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0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8" xfId="0" applyNumberFormat="1" applyFont="1" applyFill="1" applyBorder="1" applyAlignment="1"/>
    <xf numFmtId="9" fontId="34" fillId="0" borderId="48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00" xfId="74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82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7" xfId="53" applyNumberFormat="1" applyFont="1" applyFill="1" applyBorder="1"/>
    <xf numFmtId="3" fontId="33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49" fontId="39" fillId="2" borderId="87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0" xfId="26" applyNumberFormat="1" applyFont="1" applyFill="1" applyBorder="1"/>
    <xf numFmtId="167" fontId="33" fillId="3" borderId="50" xfId="26" applyNumberFormat="1" applyFont="1" applyFill="1" applyBorder="1"/>
    <xf numFmtId="167" fontId="33" fillId="4" borderId="50" xfId="26" applyNumberFormat="1" applyFont="1" applyFill="1" applyBorder="1"/>
    <xf numFmtId="167" fontId="33" fillId="10" borderId="50" xfId="26" applyNumberFormat="1" applyFont="1" applyFill="1" applyBorder="1"/>
    <xf numFmtId="167" fontId="31" fillId="7" borderId="17" xfId="26" applyNumberFormat="1" applyFont="1" applyFill="1" applyBorder="1"/>
    <xf numFmtId="167" fontId="31" fillId="7" borderId="97" xfId="26" applyNumberFormat="1" applyFont="1" applyFill="1" applyBorder="1"/>
    <xf numFmtId="167" fontId="31" fillId="7" borderId="104" xfId="26" applyNumberFormat="1" applyFont="1" applyFill="1" applyBorder="1"/>
    <xf numFmtId="0" fontId="27" fillId="4" borderId="85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86" xfId="0" applyFont="1" applyBorder="1"/>
    <xf numFmtId="0" fontId="33" fillId="2" borderId="42" xfId="81" applyFont="1" applyFill="1" applyBorder="1" applyAlignment="1">
      <alignment horizontal="center"/>
    </xf>
    <xf numFmtId="0" fontId="33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33" fillId="7" borderId="55" xfId="26" applyNumberFormat="1" applyFont="1" applyFill="1" applyBorder="1"/>
    <xf numFmtId="3" fontId="33" fillId="7" borderId="85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61" xfId="0" applyNumberFormat="1" applyFont="1" applyBorder="1" applyAlignment="1">
      <alignment horizontal="right" vertical="center"/>
    </xf>
    <xf numFmtId="9" fontId="41" fillId="0" borderId="108" xfId="0" applyNumberFormat="1" applyFont="1" applyBorder="1" applyAlignment="1">
      <alignment horizontal="right" vertical="center"/>
    </xf>
    <xf numFmtId="173" fontId="41" fillId="0" borderId="108" xfId="0" applyNumberFormat="1" applyFont="1" applyBorder="1" applyAlignment="1">
      <alignment horizontal="right" vertical="center"/>
    </xf>
    <xf numFmtId="173" fontId="41" fillId="0" borderId="74" xfId="0" applyNumberFormat="1" applyFont="1" applyBorder="1" applyAlignment="1">
      <alignment horizontal="right" vertical="center"/>
    </xf>
    <xf numFmtId="173" fontId="41" fillId="0" borderId="76" xfId="0" applyNumberFormat="1" applyFont="1" applyBorder="1" applyAlignment="1">
      <alignment vertical="center"/>
    </xf>
    <xf numFmtId="173" fontId="41" fillId="0" borderId="109" xfId="0" applyNumberFormat="1" applyFont="1" applyBorder="1" applyAlignment="1">
      <alignment vertical="center"/>
    </xf>
    <xf numFmtId="173" fontId="41" fillId="0" borderId="108" xfId="0" applyNumberFormat="1" applyFont="1" applyBorder="1" applyAlignment="1">
      <alignment vertical="center"/>
    </xf>
    <xf numFmtId="173" fontId="41" fillId="0" borderId="74" xfId="0" applyNumberFormat="1" applyFont="1" applyBorder="1" applyAlignment="1">
      <alignment vertical="center"/>
    </xf>
    <xf numFmtId="173" fontId="41" fillId="0" borderId="110" xfId="0" applyNumberFormat="1" applyFont="1" applyBorder="1" applyAlignment="1">
      <alignment vertical="center"/>
    </xf>
    <xf numFmtId="174" fontId="41" fillId="0" borderId="111" xfId="0" applyNumberFormat="1" applyFont="1" applyBorder="1" applyAlignment="1">
      <alignment vertical="center"/>
    </xf>
    <xf numFmtId="174" fontId="41" fillId="0" borderId="108" xfId="0" applyNumberFormat="1" applyFont="1" applyBorder="1" applyAlignment="1">
      <alignment vertical="center"/>
    </xf>
    <xf numFmtId="174" fontId="41" fillId="0" borderId="74" xfId="0" applyNumberFormat="1" applyFont="1" applyBorder="1" applyAlignment="1">
      <alignment vertical="center"/>
    </xf>
    <xf numFmtId="168" fontId="41" fillId="0" borderId="101" xfId="0" applyNumberFormat="1" applyFont="1" applyBorder="1" applyAlignment="1">
      <alignment vertical="center"/>
    </xf>
    <xf numFmtId="0" fontId="34" fillId="0" borderId="109" xfId="0" applyFont="1" applyBorder="1" applyAlignment="1">
      <alignment horizontal="center" vertical="center"/>
    </xf>
    <xf numFmtId="166" fontId="41" fillId="2" borderId="74" xfId="0" applyNumberFormat="1" applyFont="1" applyFill="1" applyBorder="1" applyAlignment="1">
      <alignment horizontal="center" vertical="center"/>
    </xf>
    <xf numFmtId="173" fontId="41" fillId="0" borderId="83" xfId="0" applyNumberFormat="1" applyFont="1" applyBorder="1" applyAlignment="1">
      <alignment horizontal="right" vertical="center"/>
    </xf>
    <xf numFmtId="175" fontId="41" fillId="0" borderId="82" xfId="0" applyNumberFormat="1" applyFont="1" applyBorder="1" applyAlignment="1">
      <alignment horizontal="right" vertical="center"/>
    </xf>
    <xf numFmtId="173" fontId="41" fillId="0" borderId="82" xfId="0" applyNumberFormat="1" applyFont="1" applyBorder="1" applyAlignment="1">
      <alignment horizontal="right" vertical="center"/>
    </xf>
    <xf numFmtId="173" fontId="41" fillId="0" borderId="83" xfId="0" applyNumberFormat="1" applyFont="1" applyBorder="1" applyAlignment="1">
      <alignment vertical="center"/>
    </xf>
    <xf numFmtId="173" fontId="41" fillId="0" borderId="82" xfId="0" applyNumberFormat="1" applyFont="1" applyBorder="1" applyAlignment="1">
      <alignment vertical="center"/>
    </xf>
    <xf numFmtId="173" fontId="41" fillId="0" borderId="81" xfId="0" applyNumberFormat="1" applyFont="1" applyBorder="1" applyAlignment="1">
      <alignment vertical="center"/>
    </xf>
    <xf numFmtId="176" fontId="41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87" xfId="0" quotePrefix="1" applyFont="1" applyFill="1" applyBorder="1" applyAlignment="1">
      <alignment horizontal="center" vertical="center" wrapText="1"/>
    </xf>
    <xf numFmtId="0" fontId="42" fillId="11" borderId="87" xfId="0" quotePrefix="1" applyFont="1" applyFill="1" applyBorder="1" applyAlignment="1">
      <alignment horizontal="center" vertical="center" wrapText="1"/>
    </xf>
    <xf numFmtId="0" fontId="42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7" xfId="0" applyNumberFormat="1" applyFont="1" applyFill="1" applyBorder="1"/>
    <xf numFmtId="3" fontId="0" fillId="8" borderId="75" xfId="0" applyNumberFormat="1" applyFont="1" applyFill="1" applyBorder="1"/>
    <xf numFmtId="0" fontId="0" fillId="0" borderId="118" xfId="0" applyNumberFormat="1" applyFont="1" applyBorder="1"/>
    <xf numFmtId="3" fontId="0" fillId="0" borderId="119" xfId="0" applyNumberFormat="1" applyFont="1" applyBorder="1"/>
    <xf numFmtId="0" fontId="0" fillId="8" borderId="118" xfId="0" applyNumberFormat="1" applyFont="1" applyFill="1" applyBorder="1"/>
    <xf numFmtId="3" fontId="0" fillId="8" borderId="119" xfId="0" applyNumberFormat="1" applyFont="1" applyFill="1" applyBorder="1"/>
    <xf numFmtId="0" fontId="59" fillId="9" borderId="118" xfId="0" applyNumberFormat="1" applyFont="1" applyFill="1" applyBorder="1"/>
    <xf numFmtId="3" fontId="59" fillId="9" borderId="119" xfId="0" applyNumberFormat="1" applyFont="1" applyFill="1" applyBorder="1"/>
    <xf numFmtId="0" fontId="41" fillId="3" borderId="29" xfId="0" applyFont="1" applyFill="1" applyBorder="1" applyAlignment="1"/>
    <xf numFmtId="0" fontId="34" fillId="0" borderId="41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46" xfId="81" applyFont="1" applyFill="1" applyBorder="1" applyAlignment="1">
      <alignment horizontal="center"/>
    </xf>
    <xf numFmtId="0" fontId="33" fillId="2" borderId="47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72" xfId="81" applyFont="1" applyFill="1" applyBorder="1" applyAlignment="1">
      <alignment horizontal="center"/>
    </xf>
    <xf numFmtId="0" fontId="33" fillId="2" borderId="45" xfId="81" applyFont="1" applyFill="1" applyBorder="1" applyAlignment="1">
      <alignment horizontal="center"/>
    </xf>
    <xf numFmtId="0" fontId="33" fillId="2" borderId="100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98" xfId="81" applyFont="1" applyFill="1" applyBorder="1" applyAlignment="1">
      <alignment horizontal="center"/>
    </xf>
    <xf numFmtId="0" fontId="33" fillId="2" borderId="99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0" xfId="78" applyNumberFormat="1" applyFont="1" applyFill="1" applyBorder="1" applyAlignment="1">
      <alignment horizontal="left"/>
    </xf>
    <xf numFmtId="0" fontId="34" fillId="2" borderId="52" xfId="0" applyFont="1" applyFill="1" applyBorder="1" applyAlignment="1"/>
    <xf numFmtId="3" fontId="30" fillId="2" borderId="54" xfId="78" applyNumberFormat="1" applyFont="1" applyFill="1" applyBorder="1" applyAlignment="1"/>
    <xf numFmtId="0" fontId="41" fillId="2" borderId="60" xfId="0" applyFont="1" applyFill="1" applyBorder="1" applyAlignment="1">
      <alignment horizontal="left"/>
    </xf>
    <xf numFmtId="0" fontId="34" fillId="2" borderId="48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41" fillId="2" borderId="54" xfId="0" applyFont="1" applyFill="1" applyBorder="1" applyAlignment="1">
      <alignment horizontal="left"/>
    </xf>
    <xf numFmtId="3" fontId="41" fillId="2" borderId="54" xfId="0" applyNumberFormat="1" applyFont="1" applyFill="1" applyBorder="1" applyAlignment="1">
      <alignment horizontal="left"/>
    </xf>
    <xf numFmtId="3" fontId="34" fillId="2" borderId="49" xfId="0" applyNumberFormat="1" applyFont="1" applyFill="1" applyBorder="1" applyAlignment="1">
      <alignment horizontal="left"/>
    </xf>
    <xf numFmtId="9" fontId="3" fillId="2" borderId="10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2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91" xfId="0" applyNumberFormat="1" applyFont="1" applyFill="1" applyBorder="1" applyAlignment="1">
      <alignment horizontal="center" vertical="center"/>
    </xf>
    <xf numFmtId="3" fontId="61" fillId="4" borderId="106" xfId="0" applyNumberFormat="1" applyFont="1" applyFill="1" applyBorder="1" applyAlignment="1">
      <alignment horizontal="center" vertical="center"/>
    </xf>
    <xf numFmtId="9" fontId="61" fillId="4" borderId="91" xfId="0" applyNumberFormat="1" applyFont="1" applyFill="1" applyBorder="1" applyAlignment="1">
      <alignment horizontal="center" vertical="center"/>
    </xf>
    <xf numFmtId="9" fontId="61" fillId="4" borderId="106" xfId="0" applyNumberFormat="1" applyFont="1" applyFill="1" applyBorder="1" applyAlignment="1">
      <alignment horizontal="center" vertical="center"/>
    </xf>
    <xf numFmtId="3" fontId="61" fillId="4" borderId="92" xfId="0" applyNumberFormat="1" applyFont="1" applyFill="1" applyBorder="1" applyAlignment="1">
      <alignment horizontal="center" vertical="center" wrapText="1"/>
    </xf>
    <xf numFmtId="3" fontId="61" fillId="4" borderId="107" xfId="0" applyNumberFormat="1" applyFont="1" applyFill="1" applyBorder="1" applyAlignment="1">
      <alignment horizontal="center" vertical="center" wrapText="1"/>
    </xf>
    <xf numFmtId="0" fontId="41" fillId="2" borderId="114" xfId="0" applyFont="1" applyFill="1" applyBorder="1" applyAlignment="1">
      <alignment horizontal="center" vertical="center" wrapText="1"/>
    </xf>
    <xf numFmtId="0" fontId="41" fillId="2" borderId="95" xfId="0" applyFont="1" applyFill="1" applyBorder="1" applyAlignment="1">
      <alignment horizontal="center" vertical="center" wrapText="1"/>
    </xf>
    <xf numFmtId="0" fontId="61" fillId="11" borderId="116" xfId="0" applyFont="1" applyFill="1" applyBorder="1" applyAlignment="1">
      <alignment horizontal="center"/>
    </xf>
    <xf numFmtId="0" fontId="61" fillId="11" borderId="115" xfId="0" applyFont="1" applyFill="1" applyBorder="1" applyAlignment="1">
      <alignment horizontal="center"/>
    </xf>
    <xf numFmtId="0" fontId="61" fillId="11" borderId="89" xfId="0" applyFont="1" applyFill="1" applyBorder="1" applyAlignment="1">
      <alignment horizontal="center"/>
    </xf>
    <xf numFmtId="0" fontId="61" fillId="2" borderId="92" xfId="0" applyFont="1" applyFill="1" applyBorder="1" applyAlignment="1">
      <alignment horizontal="center" vertical="center" wrapText="1"/>
    </xf>
    <xf numFmtId="0" fontId="61" fillId="2" borderId="107" xfId="0" applyFont="1" applyFill="1" applyBorder="1" applyAlignment="1">
      <alignment horizontal="center" vertical="center" wrapText="1"/>
    </xf>
    <xf numFmtId="0" fontId="41" fillId="4" borderId="101" xfId="0" applyFont="1" applyFill="1" applyBorder="1" applyAlignment="1">
      <alignment horizontal="center" vertical="center" wrapText="1"/>
    </xf>
    <xf numFmtId="0" fontId="41" fillId="4" borderId="77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/>
    </xf>
    <xf numFmtId="0" fontId="66" fillId="2" borderId="98" xfId="0" applyFont="1" applyFill="1" applyBorder="1" applyAlignment="1">
      <alignment horizontal="center"/>
    </xf>
    <xf numFmtId="0" fontId="66" fillId="2" borderId="84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79" xfId="0" applyFont="1" applyFill="1" applyBorder="1" applyAlignment="1">
      <alignment horizontal="center"/>
    </xf>
    <xf numFmtId="0" fontId="66" fillId="4" borderId="80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79" xfId="0" applyFont="1" applyFill="1" applyBorder="1" applyAlignment="1">
      <alignment horizontal="center"/>
    </xf>
    <xf numFmtId="0" fontId="66" fillId="2" borderId="80" xfId="0" applyFont="1" applyFill="1" applyBorder="1" applyAlignment="1">
      <alignment horizontal="center"/>
    </xf>
    <xf numFmtId="166" fontId="41" fillId="2" borderId="81" xfId="0" applyNumberFormat="1" applyFont="1" applyFill="1" applyBorder="1" applyAlignment="1">
      <alignment horizontal="center" vertical="center"/>
    </xf>
    <xf numFmtId="0" fontId="34" fillId="0" borderId="112" xfId="0" applyFont="1" applyBorder="1" applyAlignment="1">
      <alignment horizontal="center" vertical="center"/>
    </xf>
    <xf numFmtId="0" fontId="61" fillId="4" borderId="105" xfId="0" applyFont="1" applyFill="1" applyBorder="1" applyAlignment="1">
      <alignment horizontal="center" vertical="center" wrapText="1"/>
    </xf>
    <xf numFmtId="0" fontId="61" fillId="4" borderId="113" xfId="0" applyFont="1" applyFill="1" applyBorder="1" applyAlignment="1">
      <alignment horizontal="center" vertical="center" wrapText="1"/>
    </xf>
    <xf numFmtId="0" fontId="61" fillId="4" borderId="91" xfId="0" applyFont="1" applyFill="1" applyBorder="1" applyAlignment="1">
      <alignment horizontal="center" vertical="center" wrapText="1"/>
    </xf>
    <xf numFmtId="0" fontId="61" fillId="4" borderId="106" xfId="0" applyFont="1" applyFill="1" applyBorder="1" applyAlignment="1">
      <alignment horizontal="center" vertical="center" wrapText="1"/>
    </xf>
    <xf numFmtId="0" fontId="61" fillId="4" borderId="92" xfId="0" applyFont="1" applyFill="1" applyBorder="1" applyAlignment="1">
      <alignment horizontal="center" vertical="center" wrapText="1"/>
    </xf>
    <xf numFmtId="0" fontId="61" fillId="4" borderId="10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05" xfId="0" applyNumberFormat="1" applyFont="1" applyFill="1" applyBorder="1" applyAlignment="1">
      <alignment horizontal="center" vertical="center" wrapText="1"/>
    </xf>
    <xf numFmtId="168" fontId="61" fillId="2" borderId="113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61" fillId="2" borderId="106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41" fillId="2" borderId="58" xfId="0" applyFont="1" applyFill="1" applyBorder="1" applyAlignment="1">
      <alignment vertical="center"/>
    </xf>
    <xf numFmtId="3" fontId="33" fillId="2" borderId="60" xfId="26" applyNumberFormat="1" applyFont="1" applyFill="1" applyBorder="1" applyAlignment="1">
      <alignment horizontal="center"/>
    </xf>
    <xf numFmtId="3" fontId="33" fillId="2" borderId="48" xfId="26" applyNumberFormat="1" applyFont="1" applyFill="1" applyBorder="1" applyAlignment="1">
      <alignment horizontal="center"/>
    </xf>
    <xf numFmtId="3" fontId="33" fillId="2" borderId="96" xfId="26" applyNumberFormat="1" applyFont="1" applyFill="1" applyBorder="1" applyAlignment="1">
      <alignment horizontal="center"/>
    </xf>
    <xf numFmtId="3" fontId="33" fillId="2" borderId="4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4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0" xfId="0" quotePrefix="1" applyNumberFormat="1" applyFont="1" applyFill="1" applyBorder="1" applyAlignment="1">
      <alignment horizontal="center"/>
    </xf>
    <xf numFmtId="0" fontId="33" fillId="2" borderId="49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48" xfId="26" applyNumberFormat="1" applyFont="1" applyFill="1" applyBorder="1" applyAlignment="1">
      <alignment horizontal="right" vertical="top"/>
    </xf>
    <xf numFmtId="0" fontId="34" fillId="0" borderId="48" xfId="0" applyFont="1" applyFill="1" applyBorder="1" applyAlignment="1">
      <alignment horizontal="right" vertical="top"/>
    </xf>
    <xf numFmtId="0" fontId="34" fillId="0" borderId="96" xfId="0" applyFont="1" applyFill="1" applyBorder="1" applyAlignment="1">
      <alignment horizontal="right" vertical="top"/>
    </xf>
    <xf numFmtId="3" fontId="33" fillId="10" borderId="76" xfId="26" applyNumberFormat="1" applyFont="1" applyFill="1" applyBorder="1" applyAlignment="1">
      <alignment horizontal="center" vertical="center" wrapText="1"/>
    </xf>
    <xf numFmtId="3" fontId="33" fillId="10" borderId="59" xfId="26" applyNumberFormat="1" applyFont="1" applyFill="1" applyBorder="1" applyAlignment="1">
      <alignment horizontal="center" vertical="center" wrapText="1"/>
    </xf>
    <xf numFmtId="3" fontId="33" fillId="10" borderId="60" xfId="26" applyNumberFormat="1" applyFont="1" applyFill="1" applyBorder="1" applyAlignment="1">
      <alignment horizontal="center"/>
    </xf>
    <xf numFmtId="3" fontId="33" fillId="10" borderId="48" xfId="26" applyNumberFormat="1" applyFont="1" applyFill="1" applyBorder="1" applyAlignment="1">
      <alignment horizontal="center"/>
    </xf>
    <xf numFmtId="3" fontId="33" fillId="10" borderId="96" xfId="26" applyNumberFormat="1" applyFont="1" applyFill="1" applyBorder="1" applyAlignment="1">
      <alignment horizontal="center"/>
    </xf>
    <xf numFmtId="3" fontId="33" fillId="10" borderId="49" xfId="26" applyNumberFormat="1" applyFont="1" applyFill="1" applyBorder="1" applyAlignment="1">
      <alignment horizontal="center"/>
    </xf>
    <xf numFmtId="3" fontId="33" fillId="4" borderId="76" xfId="26" applyNumberFormat="1" applyFont="1" applyFill="1" applyBorder="1" applyAlignment="1">
      <alignment horizontal="center" vertical="center" wrapText="1"/>
    </xf>
    <xf numFmtId="3" fontId="33" fillId="4" borderId="59" xfId="26" applyNumberFormat="1" applyFont="1" applyFill="1" applyBorder="1" applyAlignment="1">
      <alignment horizontal="center" vertical="center" wrapText="1"/>
    </xf>
    <xf numFmtId="3" fontId="33" fillId="4" borderId="60" xfId="26" applyNumberFormat="1" applyFont="1" applyFill="1" applyBorder="1" applyAlignment="1">
      <alignment horizontal="center"/>
    </xf>
    <xf numFmtId="3" fontId="33" fillId="4" borderId="48" xfId="26" applyNumberFormat="1" applyFont="1" applyFill="1" applyBorder="1" applyAlignment="1">
      <alignment horizontal="center"/>
    </xf>
    <xf numFmtId="3" fontId="33" fillId="4" borderId="96" xfId="26" applyNumberFormat="1" applyFont="1" applyFill="1" applyBorder="1" applyAlignment="1">
      <alignment horizontal="center"/>
    </xf>
    <xf numFmtId="3" fontId="33" fillId="4" borderId="49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76" xfId="26" applyNumberFormat="1" applyFont="1" applyFill="1" applyBorder="1" applyAlignment="1">
      <alignment horizontal="center" vertical="center"/>
    </xf>
    <xf numFmtId="3" fontId="33" fillId="2" borderId="59" xfId="26" applyNumberFormat="1" applyFont="1" applyFill="1" applyBorder="1" applyAlignment="1">
      <alignment horizontal="center" vertical="center"/>
    </xf>
    <xf numFmtId="3" fontId="33" fillId="0" borderId="96" xfId="26" applyNumberFormat="1" applyFont="1" applyFill="1" applyBorder="1" applyAlignment="1">
      <alignment horizontal="right" vertical="top"/>
    </xf>
    <xf numFmtId="3" fontId="33" fillId="3" borderId="76" xfId="26" applyNumberFormat="1" applyFont="1" applyFill="1" applyBorder="1" applyAlignment="1">
      <alignment horizontal="center" vertical="center" wrapText="1"/>
    </xf>
    <xf numFmtId="3" fontId="33" fillId="3" borderId="59" xfId="26" applyNumberFormat="1" applyFont="1" applyFill="1" applyBorder="1" applyAlignment="1">
      <alignment horizontal="center" vertical="center" wrapText="1"/>
    </xf>
    <xf numFmtId="3" fontId="33" fillId="3" borderId="60" xfId="26" applyNumberFormat="1" applyFont="1" applyFill="1" applyBorder="1" applyAlignment="1">
      <alignment horizontal="center"/>
    </xf>
    <xf numFmtId="3" fontId="33" fillId="3" borderId="48" xfId="26" applyNumberFormat="1" applyFont="1" applyFill="1" applyBorder="1" applyAlignment="1">
      <alignment horizontal="center"/>
    </xf>
    <xf numFmtId="3" fontId="33" fillId="3" borderId="96" xfId="26" applyNumberFormat="1" applyFont="1" applyFill="1" applyBorder="1" applyAlignment="1">
      <alignment horizontal="center"/>
    </xf>
    <xf numFmtId="3" fontId="33" fillId="3" borderId="49" xfId="26" applyNumberFormat="1" applyFont="1" applyFill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4" fillId="2" borderId="48" xfId="14" applyFont="1" applyFill="1" applyBorder="1" applyAlignment="1">
      <alignment horizontal="center"/>
    </xf>
    <xf numFmtId="0" fontId="34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1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0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21" xfId="0" applyNumberFormat="1" applyFont="1" applyFill="1" applyBorder="1" applyAlignment="1">
      <alignment horizontal="right" vertical="top"/>
    </xf>
    <xf numFmtId="3" fontId="35" fillId="12" borderId="122" xfId="0" applyNumberFormat="1" applyFont="1" applyFill="1" applyBorder="1" applyAlignment="1">
      <alignment horizontal="right" vertical="top"/>
    </xf>
    <xf numFmtId="177" fontId="35" fillId="12" borderId="123" xfId="0" applyNumberFormat="1" applyFont="1" applyFill="1" applyBorder="1" applyAlignment="1">
      <alignment horizontal="right" vertical="top"/>
    </xf>
    <xf numFmtId="3" fontId="35" fillId="0" borderId="121" xfId="0" applyNumberFormat="1" applyFont="1" applyBorder="1" applyAlignment="1">
      <alignment horizontal="right" vertical="top"/>
    </xf>
    <xf numFmtId="177" fontId="35" fillId="12" borderId="124" xfId="0" applyNumberFormat="1" applyFont="1" applyFill="1" applyBorder="1" applyAlignment="1">
      <alignment horizontal="right" vertical="top"/>
    </xf>
    <xf numFmtId="3" fontId="37" fillId="12" borderId="126" xfId="0" applyNumberFormat="1" applyFont="1" applyFill="1" applyBorder="1" applyAlignment="1">
      <alignment horizontal="right" vertical="top"/>
    </xf>
    <xf numFmtId="3" fontId="37" fillId="12" borderId="127" xfId="0" applyNumberFormat="1" applyFont="1" applyFill="1" applyBorder="1" applyAlignment="1">
      <alignment horizontal="right" vertical="top"/>
    </xf>
    <xf numFmtId="0" fontId="37" fillId="12" borderId="128" xfId="0" applyFont="1" applyFill="1" applyBorder="1" applyAlignment="1">
      <alignment horizontal="right" vertical="top"/>
    </xf>
    <xf numFmtId="3" fontId="37" fillId="0" borderId="126" xfId="0" applyNumberFormat="1" applyFont="1" applyBorder="1" applyAlignment="1">
      <alignment horizontal="right" vertical="top"/>
    </xf>
    <xf numFmtId="0" fontId="37" fillId="12" borderId="129" xfId="0" applyFont="1" applyFill="1" applyBorder="1" applyAlignment="1">
      <alignment horizontal="right" vertical="top"/>
    </xf>
    <xf numFmtId="0" fontId="35" fillId="12" borderId="123" xfId="0" applyFont="1" applyFill="1" applyBorder="1" applyAlignment="1">
      <alignment horizontal="right" vertical="top"/>
    </xf>
    <xf numFmtId="0" fontId="35" fillId="12" borderId="124" xfId="0" applyFont="1" applyFill="1" applyBorder="1" applyAlignment="1">
      <alignment horizontal="right" vertical="top"/>
    </xf>
    <xf numFmtId="177" fontId="37" fillId="12" borderId="128" xfId="0" applyNumberFormat="1" applyFont="1" applyFill="1" applyBorder="1" applyAlignment="1">
      <alignment horizontal="right" vertical="top"/>
    </xf>
    <xf numFmtId="177" fontId="37" fillId="12" borderId="129" xfId="0" applyNumberFormat="1" applyFont="1" applyFill="1" applyBorder="1" applyAlignment="1">
      <alignment horizontal="right" vertical="top"/>
    </xf>
    <xf numFmtId="3" fontId="37" fillId="0" borderId="130" xfId="0" applyNumberFormat="1" applyFont="1" applyBorder="1" applyAlignment="1">
      <alignment horizontal="right" vertical="top"/>
    </xf>
    <xf numFmtId="3" fontId="37" fillId="0" borderId="131" xfId="0" applyNumberFormat="1" applyFont="1" applyBorder="1" applyAlignment="1">
      <alignment horizontal="right" vertical="top"/>
    </xf>
    <xf numFmtId="3" fontId="37" fillId="0" borderId="132" xfId="0" applyNumberFormat="1" applyFont="1" applyBorder="1" applyAlignment="1">
      <alignment horizontal="right" vertical="top"/>
    </xf>
    <xf numFmtId="177" fontId="37" fillId="12" borderId="133" xfId="0" applyNumberFormat="1" applyFont="1" applyFill="1" applyBorder="1" applyAlignment="1">
      <alignment horizontal="right" vertical="top"/>
    </xf>
    <xf numFmtId="0" fontId="39" fillId="13" borderId="120" xfId="0" applyFont="1" applyFill="1" applyBorder="1" applyAlignment="1">
      <alignment vertical="top"/>
    </xf>
    <xf numFmtId="0" fontId="39" fillId="13" borderId="120" xfId="0" applyFont="1" applyFill="1" applyBorder="1" applyAlignment="1">
      <alignment vertical="top" indent="2"/>
    </xf>
    <xf numFmtId="0" fontId="39" fillId="13" borderId="120" xfId="0" applyFont="1" applyFill="1" applyBorder="1" applyAlignment="1">
      <alignment vertical="top" indent="4"/>
    </xf>
    <xf numFmtId="0" fontId="40" fillId="13" borderId="125" xfId="0" applyFont="1" applyFill="1" applyBorder="1" applyAlignment="1">
      <alignment vertical="top" indent="6"/>
    </xf>
    <xf numFmtId="0" fontId="39" fillId="13" borderId="120" xfId="0" applyFont="1" applyFill="1" applyBorder="1" applyAlignment="1">
      <alignment vertical="top" indent="8"/>
    </xf>
    <xf numFmtId="0" fontId="40" fillId="13" borderId="125" xfId="0" applyFont="1" applyFill="1" applyBorder="1" applyAlignment="1">
      <alignment vertical="top" indent="2"/>
    </xf>
    <xf numFmtId="0" fontId="39" fillId="13" borderId="120" xfId="0" applyFont="1" applyFill="1" applyBorder="1" applyAlignment="1">
      <alignment vertical="top" indent="6"/>
    </xf>
    <xf numFmtId="0" fontId="40" fillId="13" borderId="125" xfId="0" applyFont="1" applyFill="1" applyBorder="1" applyAlignment="1">
      <alignment vertical="top" indent="4"/>
    </xf>
    <xf numFmtId="0" fontId="34" fillId="13" borderId="12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10" xfId="53" applyNumberFormat="1" applyFont="1" applyFill="1" applyBorder="1" applyAlignment="1">
      <alignment horizontal="left"/>
    </xf>
    <xf numFmtId="164" fontId="33" fillId="2" borderId="134" xfId="53" applyNumberFormat="1" applyFont="1" applyFill="1" applyBorder="1" applyAlignment="1">
      <alignment horizontal="left"/>
    </xf>
    <xf numFmtId="0" fontId="33" fillId="2" borderId="134" xfId="53" applyNumberFormat="1" applyFont="1" applyFill="1" applyBorder="1" applyAlignment="1">
      <alignment horizontal="left"/>
    </xf>
    <xf numFmtId="164" fontId="33" fillId="2" borderId="108" xfId="53" applyNumberFormat="1" applyFont="1" applyFill="1" applyBorder="1" applyAlignment="1">
      <alignment horizontal="left"/>
    </xf>
    <xf numFmtId="3" fontId="33" fillId="2" borderId="108" xfId="53" applyNumberFormat="1" applyFont="1" applyFill="1" applyBorder="1" applyAlignment="1">
      <alignment horizontal="left"/>
    </xf>
    <xf numFmtId="3" fontId="33" fillId="2" borderId="61" xfId="53" applyNumberFormat="1" applyFont="1" applyFill="1" applyBorder="1" applyAlignment="1">
      <alignment horizontal="left"/>
    </xf>
    <xf numFmtId="3" fontId="34" fillId="0" borderId="134" xfId="0" applyNumberFormat="1" applyFont="1" applyFill="1" applyBorder="1"/>
    <xf numFmtId="3" fontId="34" fillId="0" borderId="109" xfId="0" applyNumberFormat="1" applyFont="1" applyFill="1" applyBorder="1"/>
    <xf numFmtId="0" fontId="34" fillId="0" borderId="78" xfId="0" applyFont="1" applyFill="1" applyBorder="1"/>
    <xf numFmtId="0" fontId="34" fillId="0" borderId="79" xfId="0" applyFont="1" applyFill="1" applyBorder="1"/>
    <xf numFmtId="164" fontId="34" fillId="0" borderId="79" xfId="0" applyNumberFormat="1" applyFont="1" applyFill="1" applyBorder="1"/>
    <xf numFmtId="164" fontId="34" fillId="0" borderId="79" xfId="0" applyNumberFormat="1" applyFont="1" applyFill="1" applyBorder="1" applyAlignment="1">
      <alignment horizontal="right"/>
    </xf>
    <xf numFmtId="0" fontId="34" fillId="0" borderId="79" xfId="0" applyNumberFormat="1" applyFont="1" applyFill="1" applyBorder="1"/>
    <xf numFmtId="3" fontId="34" fillId="0" borderId="79" xfId="0" applyNumberFormat="1" applyFont="1" applyFill="1" applyBorder="1"/>
    <xf numFmtId="3" fontId="34" fillId="0" borderId="80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0" fontId="34" fillId="0" borderId="87" xfId="0" applyNumberFormat="1" applyFont="1" applyFill="1" applyBorder="1"/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81" xfId="0" applyFont="1" applyFill="1" applyBorder="1"/>
    <xf numFmtId="0" fontId="34" fillId="0" borderId="82" xfId="0" applyFont="1" applyFill="1" applyBorder="1"/>
    <xf numFmtId="164" fontId="34" fillId="0" borderId="82" xfId="0" applyNumberFormat="1" applyFont="1" applyFill="1" applyBorder="1"/>
    <xf numFmtId="164" fontId="34" fillId="0" borderId="82" xfId="0" applyNumberFormat="1" applyFont="1" applyFill="1" applyBorder="1" applyAlignment="1">
      <alignment horizontal="right"/>
    </xf>
    <xf numFmtId="0" fontId="34" fillId="0" borderId="82" xfId="0" applyNumberFormat="1" applyFont="1" applyFill="1" applyBorder="1"/>
    <xf numFmtId="3" fontId="34" fillId="0" borderId="82" xfId="0" applyNumberFormat="1" applyFont="1" applyFill="1" applyBorder="1"/>
    <xf numFmtId="3" fontId="34" fillId="0" borderId="83" xfId="0" applyNumberFormat="1" applyFont="1" applyFill="1" applyBorder="1"/>
    <xf numFmtId="0" fontId="41" fillId="2" borderId="110" xfId="0" applyFont="1" applyFill="1" applyBorder="1"/>
    <xf numFmtId="3" fontId="41" fillId="2" borderId="111" xfId="0" applyNumberFormat="1" applyFont="1" applyFill="1" applyBorder="1"/>
    <xf numFmtId="9" fontId="41" fillId="2" borderId="74" xfId="0" applyNumberFormat="1" applyFont="1" applyFill="1" applyBorder="1"/>
    <xf numFmtId="3" fontId="41" fillId="2" borderId="61" xfId="0" applyNumberFormat="1" applyFont="1" applyFill="1" applyBorder="1"/>
    <xf numFmtId="9" fontId="34" fillId="0" borderId="134" xfId="0" applyNumberFormat="1" applyFont="1" applyFill="1" applyBorder="1"/>
    <xf numFmtId="9" fontId="34" fillId="0" borderId="79" xfId="0" applyNumberFormat="1" applyFont="1" applyFill="1" applyBorder="1"/>
    <xf numFmtId="9" fontId="34" fillId="0" borderId="8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110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1" xfId="0" applyNumberFormat="1" applyFont="1" applyFill="1" applyBorder="1"/>
    <xf numFmtId="9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41" fillId="0" borderId="78" xfId="0" applyFont="1" applyFill="1" applyBorder="1"/>
    <xf numFmtId="0" fontId="41" fillId="0" borderId="86" xfId="0" applyFont="1" applyFill="1" applyBorder="1"/>
    <xf numFmtId="0" fontId="41" fillId="0" borderId="105" xfId="0" applyFont="1" applyFill="1" applyBorder="1"/>
    <xf numFmtId="0" fontId="41" fillId="2" borderId="13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91" xfId="80" applyNumberFormat="1" applyFont="1" applyFill="1" applyBorder="1"/>
    <xf numFmtId="3" fontId="3" fillId="2" borderId="92" xfId="80" applyNumberFormat="1" applyFont="1" applyFill="1" applyBorder="1"/>
    <xf numFmtId="9" fontId="3" fillId="2" borderId="137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4" fillId="0" borderId="80" xfId="0" applyNumberFormat="1" applyFont="1" applyFill="1" applyBorder="1"/>
    <xf numFmtId="9" fontId="34" fillId="0" borderId="83" xfId="0" applyNumberFormat="1" applyFont="1" applyFill="1" applyBorder="1"/>
    <xf numFmtId="0" fontId="41" fillId="0" borderId="100" xfId="0" applyFont="1" applyFill="1" applyBorder="1"/>
    <xf numFmtId="0" fontId="41" fillId="0" borderId="99" xfId="0" applyFont="1" applyFill="1" applyBorder="1" applyAlignment="1">
      <alignment horizontal="left" indent="1"/>
    </xf>
    <xf numFmtId="9" fontId="34" fillId="0" borderId="138" xfId="0" applyNumberFormat="1" applyFont="1" applyFill="1" applyBorder="1"/>
    <xf numFmtId="9" fontId="34" fillId="0" borderId="94" xfId="0" applyNumberFormat="1" applyFont="1" applyFill="1" applyBorder="1"/>
    <xf numFmtId="3" fontId="34" fillId="0" borderId="78" xfId="0" applyNumberFormat="1" applyFont="1" applyFill="1" applyBorder="1"/>
    <xf numFmtId="3" fontId="34" fillId="0" borderId="81" xfId="0" applyNumberFormat="1" applyFont="1" applyFill="1" applyBorder="1"/>
    <xf numFmtId="9" fontId="34" fillId="0" borderId="139" xfId="0" applyNumberFormat="1" applyFont="1" applyFill="1" applyBorder="1"/>
    <xf numFmtId="9" fontId="34" fillId="0" borderId="112" xfId="0" applyNumberFormat="1" applyFont="1" applyFill="1" applyBorder="1"/>
    <xf numFmtId="0" fontId="34" fillId="2" borderId="61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0" fontId="33" fillId="2" borderId="19" xfId="26" applyNumberFormat="1" applyFont="1" applyFill="1" applyBorder="1" applyAlignment="1">
      <alignment horizontal="right"/>
    </xf>
    <xf numFmtId="169" fontId="34" fillId="0" borderId="79" xfId="0" applyNumberFormat="1" applyFont="1" applyFill="1" applyBorder="1"/>
    <xf numFmtId="169" fontId="34" fillId="0" borderId="82" xfId="0" applyNumberFormat="1" applyFont="1" applyFill="1" applyBorder="1"/>
    <xf numFmtId="0" fontId="41" fillId="0" borderId="81" xfId="0" applyFont="1" applyFill="1" applyBorder="1"/>
    <xf numFmtId="0" fontId="33" fillId="2" borderId="34" xfId="0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3" fontId="67" fillId="0" borderId="136" xfId="0" applyNumberFormat="1" applyFont="1" applyBorder="1" applyAlignment="1">
      <alignment horizontal="right"/>
    </xf>
    <xf numFmtId="166" fontId="67" fillId="0" borderId="136" xfId="0" applyNumberFormat="1" applyFont="1" applyBorder="1" applyAlignment="1">
      <alignment horizontal="right"/>
    </xf>
    <xf numFmtId="166" fontId="67" fillId="0" borderId="140" xfId="0" applyNumberFormat="1" applyFont="1" applyBorder="1" applyAlignment="1">
      <alignment horizontal="right"/>
    </xf>
    <xf numFmtId="3" fontId="5" fillId="0" borderId="136" xfId="0" applyNumberFormat="1" applyFont="1" applyBorder="1" applyAlignment="1">
      <alignment horizontal="right"/>
    </xf>
    <xf numFmtId="166" fontId="5" fillId="0" borderId="136" xfId="0" applyNumberFormat="1" applyFont="1" applyBorder="1" applyAlignment="1">
      <alignment horizontal="right"/>
    </xf>
    <xf numFmtId="166" fontId="5" fillId="0" borderId="140" xfId="0" applyNumberFormat="1" applyFont="1" applyBorder="1" applyAlignment="1">
      <alignment horizontal="right"/>
    </xf>
    <xf numFmtId="178" fontId="5" fillId="0" borderId="136" xfId="0" applyNumberFormat="1" applyFont="1" applyBorder="1" applyAlignment="1">
      <alignment horizontal="right"/>
    </xf>
    <xf numFmtId="4" fontId="5" fillId="0" borderId="136" xfId="0" applyNumberFormat="1" applyFont="1" applyBorder="1" applyAlignment="1">
      <alignment horizontal="right"/>
    </xf>
    <xf numFmtId="3" fontId="5" fillId="0" borderId="136" xfId="0" applyNumberFormat="1" applyFont="1" applyBorder="1"/>
    <xf numFmtId="3" fontId="67" fillId="0" borderId="136" xfId="0" applyNumberFormat="1" applyFont="1" applyBorder="1"/>
    <xf numFmtId="166" fontId="67" fillId="0" borderId="136" xfId="0" applyNumberFormat="1" applyFont="1" applyBorder="1"/>
    <xf numFmtId="166" fontId="67" fillId="0" borderId="140" xfId="0" applyNumberFormat="1" applyFont="1" applyBorder="1"/>
    <xf numFmtId="166" fontId="67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68" fillId="0" borderId="140" xfId="0" applyNumberFormat="1" applyFont="1" applyBorder="1" applyAlignment="1">
      <alignment horizontal="right"/>
    </xf>
    <xf numFmtId="166" fontId="67" fillId="0" borderId="19" xfId="0" applyNumberFormat="1" applyFont="1" applyBorder="1" applyAlignment="1">
      <alignment horizontal="right"/>
    </xf>
    <xf numFmtId="166" fontId="68" fillId="0" borderId="19" xfId="0" applyNumberFormat="1" applyFont="1" applyBorder="1" applyAlignment="1">
      <alignment horizontal="right"/>
    </xf>
    <xf numFmtId="3" fontId="34" fillId="0" borderId="136" xfId="0" applyNumberFormat="1" applyFont="1" applyBorder="1"/>
    <xf numFmtId="166" fontId="34" fillId="0" borderId="136" xfId="0" applyNumberFormat="1" applyFont="1" applyBorder="1"/>
    <xf numFmtId="166" fontId="34" fillId="0" borderId="140" xfId="0" applyNumberFormat="1" applyFont="1" applyBorder="1"/>
    <xf numFmtId="0" fontId="5" fillId="0" borderId="136" xfId="0" applyFont="1" applyBorder="1"/>
    <xf numFmtId="3" fontId="34" fillId="0" borderId="136" xfId="0" applyNumberFormat="1" applyFont="1" applyBorder="1" applyAlignment="1">
      <alignment horizontal="right"/>
    </xf>
    <xf numFmtId="166" fontId="34" fillId="0" borderId="19" xfId="0" applyNumberFormat="1" applyFont="1" applyBorder="1"/>
    <xf numFmtId="3" fontId="67" fillId="0" borderId="0" xfId="0" applyNumberFormat="1" applyFont="1" applyBorder="1"/>
    <xf numFmtId="166" fontId="67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7" fillId="0" borderId="0" xfId="0" applyNumberFormat="1" applyFont="1" applyBorder="1" applyAlignment="1">
      <alignment horizontal="right"/>
    </xf>
    <xf numFmtId="166" fontId="67" fillId="0" borderId="0" xfId="0" applyNumberFormat="1" applyFont="1" applyBorder="1" applyAlignment="1">
      <alignment horizontal="right"/>
    </xf>
    <xf numFmtId="49" fontId="3" fillId="0" borderId="9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34" fillId="0" borderId="96" xfId="0" applyNumberFormat="1" applyFont="1" applyBorder="1"/>
    <xf numFmtId="166" fontId="34" fillId="0" borderId="96" xfId="0" applyNumberFormat="1" applyFont="1" applyBorder="1"/>
    <xf numFmtId="166" fontId="34" fillId="0" borderId="77" xfId="0" applyNumberFormat="1" applyFont="1" applyBorder="1"/>
    <xf numFmtId="3" fontId="67" fillId="0" borderId="96" xfId="0" applyNumberFormat="1" applyFont="1" applyBorder="1" applyAlignment="1">
      <alignment horizontal="right"/>
    </xf>
    <xf numFmtId="166" fontId="67" fillId="0" borderId="96" xfId="0" applyNumberFormat="1" applyFont="1" applyBorder="1" applyAlignment="1">
      <alignment horizontal="right"/>
    </xf>
    <xf numFmtId="166" fontId="67" fillId="0" borderId="77" xfId="0" applyNumberFormat="1" applyFont="1" applyBorder="1" applyAlignment="1">
      <alignment horizontal="right"/>
    </xf>
    <xf numFmtId="3" fontId="5" fillId="0" borderId="96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178" fontId="5" fillId="0" borderId="96" xfId="0" applyNumberFormat="1" applyFont="1" applyBorder="1" applyAlignment="1">
      <alignment horizontal="right"/>
    </xf>
    <xf numFmtId="4" fontId="5" fillId="0" borderId="96" xfId="0" applyNumberFormat="1" applyFont="1" applyBorder="1" applyAlignment="1">
      <alignment horizontal="right"/>
    </xf>
    <xf numFmtId="0" fontId="5" fillId="0" borderId="96" xfId="0" applyFont="1" applyBorder="1"/>
    <xf numFmtId="3" fontId="5" fillId="0" borderId="96" xfId="0" applyNumberFormat="1" applyFont="1" applyBorder="1"/>
    <xf numFmtId="49" fontId="3" fillId="0" borderId="59" xfId="0" applyNumberFormat="1" applyFont="1" applyBorder="1" applyAlignment="1">
      <alignment horizontal="center"/>
    </xf>
    <xf numFmtId="3" fontId="34" fillId="0" borderId="2" xfId="0" applyNumberFormat="1" applyFont="1" applyBorder="1"/>
    <xf numFmtId="166" fontId="34" fillId="0" borderId="2" xfId="0" applyNumberFormat="1" applyFont="1" applyBorder="1"/>
    <xf numFmtId="166" fontId="34" fillId="0" borderId="3" xfId="0" applyNumberFormat="1" applyFont="1" applyBorder="1"/>
    <xf numFmtId="3" fontId="67" fillId="0" borderId="2" xfId="0" applyNumberFormat="1" applyFont="1" applyBorder="1" applyAlignment="1">
      <alignment horizontal="right"/>
    </xf>
    <xf numFmtId="166" fontId="67" fillId="0" borderId="2" xfId="0" applyNumberFormat="1" applyFont="1" applyBorder="1" applyAlignment="1">
      <alignment horizontal="right"/>
    </xf>
    <xf numFmtId="166" fontId="67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77" xfId="0" applyNumberFormat="1" applyFont="1" applyBorder="1"/>
    <xf numFmtId="3" fontId="5" fillId="0" borderId="140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6" xfId="0" applyNumberFormat="1" applyFont="1" applyBorder="1"/>
    <xf numFmtId="9" fontId="34" fillId="0" borderId="0" xfId="0" applyNumberFormat="1" applyFont="1" applyBorder="1"/>
    <xf numFmtId="3" fontId="34" fillId="0" borderId="135" xfId="0" applyNumberFormat="1" applyFont="1" applyBorder="1"/>
    <xf numFmtId="3" fontId="34" fillId="0" borderId="18" xfId="0" applyNumberFormat="1" applyFont="1" applyBorder="1"/>
    <xf numFmtId="3" fontId="34" fillId="0" borderId="101" xfId="0" applyNumberFormat="1" applyFont="1" applyBorder="1"/>
    <xf numFmtId="9" fontId="34" fillId="0" borderId="96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4" fillId="0" borderId="1" xfId="0" applyNumberFormat="1" applyFont="1" applyBorder="1"/>
    <xf numFmtId="9" fontId="34" fillId="0" borderId="2" xfId="0" applyNumberFormat="1" applyFont="1" applyBorder="1"/>
    <xf numFmtId="3" fontId="11" fillId="0" borderId="59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169" fontId="34" fillId="0" borderId="87" xfId="0" applyNumberFormat="1" applyFont="1" applyFill="1" applyBorder="1"/>
    <xf numFmtId="9" fontId="34" fillId="0" borderId="88" xfId="0" applyNumberFormat="1" applyFont="1" applyFill="1" applyBorder="1"/>
    <xf numFmtId="3" fontId="33" fillId="2" borderId="73" xfId="76" applyNumberFormat="1" applyFont="1" applyFill="1" applyBorder="1" applyAlignment="1">
      <alignment horizontal="center" vertical="center"/>
    </xf>
    <xf numFmtId="3" fontId="33" fillId="2" borderId="108" xfId="76" applyNumberFormat="1" applyFont="1" applyFill="1" applyBorder="1" applyAlignment="1">
      <alignment horizontal="center" vertical="center"/>
    </xf>
    <xf numFmtId="0" fontId="31" fillId="0" borderId="78" xfId="76" applyFont="1" applyFill="1" applyBorder="1"/>
    <xf numFmtId="0" fontId="31" fillId="0" borderId="86" xfId="76" applyFont="1" applyFill="1" applyBorder="1"/>
    <xf numFmtId="0" fontId="31" fillId="0" borderId="81" xfId="76" applyFont="1" applyFill="1" applyBorder="1"/>
    <xf numFmtId="0" fontId="31" fillId="0" borderId="139" xfId="76" applyFont="1" applyFill="1" applyBorder="1"/>
    <xf numFmtId="0" fontId="31" fillId="0" borderId="97" xfId="76" applyFont="1" applyFill="1" applyBorder="1"/>
    <xf numFmtId="0" fontId="31" fillId="0" borderId="112" xfId="76" applyFont="1" applyFill="1" applyBorder="1"/>
    <xf numFmtId="0" fontId="33" fillId="2" borderId="91" xfId="76" applyNumberFormat="1" applyFont="1" applyFill="1" applyBorder="1" applyAlignment="1">
      <alignment horizontal="left"/>
    </xf>
    <xf numFmtId="0" fontId="33" fillId="2" borderId="141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79" xfId="76" applyNumberFormat="1" applyFont="1" applyFill="1" applyBorder="1"/>
    <xf numFmtId="3" fontId="31" fillId="0" borderId="86" xfId="76" applyNumberFormat="1" applyFont="1" applyFill="1" applyBorder="1"/>
    <xf numFmtId="3" fontId="31" fillId="0" borderId="87" xfId="76" applyNumberFormat="1" applyFont="1" applyFill="1" applyBorder="1"/>
    <xf numFmtId="3" fontId="31" fillId="0" borderId="81" xfId="76" applyNumberFormat="1" applyFont="1" applyFill="1" applyBorder="1"/>
    <xf numFmtId="3" fontId="31" fillId="0" borderId="82" xfId="76" applyNumberFormat="1" applyFont="1" applyFill="1" applyBorder="1"/>
    <xf numFmtId="9" fontId="31" fillId="0" borderId="139" xfId="76" applyNumberFormat="1" applyFont="1" applyFill="1" applyBorder="1"/>
    <xf numFmtId="9" fontId="31" fillId="0" borderId="97" xfId="76" applyNumberFormat="1" applyFont="1" applyFill="1" applyBorder="1"/>
    <xf numFmtId="9" fontId="31" fillId="0" borderId="112" xfId="76" applyNumberFormat="1" applyFont="1" applyFill="1" applyBorder="1"/>
    <xf numFmtId="0" fontId="33" fillId="2" borderId="137" xfId="76" applyNumberFormat="1" applyFont="1" applyFill="1" applyBorder="1" applyAlignment="1">
      <alignment horizontal="left"/>
    </xf>
    <xf numFmtId="0" fontId="33" fillId="2" borderId="92" xfId="76" applyNumberFormat="1" applyFont="1" applyFill="1" applyBorder="1" applyAlignment="1">
      <alignment horizontal="left"/>
    </xf>
    <xf numFmtId="3" fontId="31" fillId="0" borderId="80" xfId="76" applyNumberFormat="1" applyFont="1" applyFill="1" applyBorder="1"/>
    <xf numFmtId="3" fontId="31" fillId="0" borderId="88" xfId="76" applyNumberFormat="1" applyFont="1" applyFill="1" applyBorder="1"/>
    <xf numFmtId="3" fontId="31" fillId="0" borderId="8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10"/>
      <tableStyleElement type="headerRow" dxfId="109"/>
      <tableStyleElement type="totalRow" dxfId="108"/>
      <tableStyleElement type="firstColumn" dxfId="107"/>
      <tableStyleElement type="lastColumn" dxfId="106"/>
      <tableStyleElement type="firstRowStripe" dxfId="105"/>
      <tableStyleElement type="firstColumnStripe" dxfId="104"/>
    </tableStyle>
    <tableStyle name="TableStyleMedium2 2" pivot="0" count="7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0.15167223418464723</c:v>
                </c:pt>
                <c:pt idx="1">
                  <c:v>0.33239241914419204</c:v>
                </c:pt>
                <c:pt idx="2">
                  <c:v>0.25897470425111141</c:v>
                </c:pt>
                <c:pt idx="3">
                  <c:v>0.31240954106063057</c:v>
                </c:pt>
                <c:pt idx="4">
                  <c:v>0.2780507711529504</c:v>
                </c:pt>
                <c:pt idx="5">
                  <c:v>0.27738042918349015</c:v>
                </c:pt>
                <c:pt idx="6">
                  <c:v>0.31298954488133407</c:v>
                </c:pt>
                <c:pt idx="7">
                  <c:v>0.31882407767608917</c:v>
                </c:pt>
                <c:pt idx="8">
                  <c:v>0.29351473464880751</c:v>
                </c:pt>
                <c:pt idx="9">
                  <c:v>0.27687126431007497</c:v>
                </c:pt>
                <c:pt idx="10">
                  <c:v>0.25806621542683794</c:v>
                </c:pt>
                <c:pt idx="11">
                  <c:v>0.25316221716443182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717232"/>
        <c:axId val="11527243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0.26983222200550999</c:v>
                </c:pt>
                <c:pt idx="1">
                  <c:v>0.26983222200550999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719408"/>
        <c:axId val="1152726480"/>
      </c:scatterChart>
      <c:catAx>
        <c:axId val="115271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52724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27243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52717232"/>
        <c:crosses val="autoZero"/>
        <c:crossBetween val="between"/>
      </c:valAx>
      <c:valAx>
        <c:axId val="11527194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52726480"/>
        <c:crosses val="max"/>
        <c:crossBetween val="midCat"/>
      </c:valAx>
      <c:valAx>
        <c:axId val="11527264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5271940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ALOS!$E$33:$E$44</c:f>
              <c:numCache>
                <c:formatCode>0%</c:formatCode>
                <c:ptCount val="12"/>
                <c:pt idx="0">
                  <c:v>0.53846153846153844</c:v>
                </c:pt>
                <c:pt idx="1">
                  <c:v>0.6063492063492063</c:v>
                </c:pt>
                <c:pt idx="2">
                  <c:v>0.63920454545454541</c:v>
                </c:pt>
                <c:pt idx="3">
                  <c:v>0.6763565891472868</c:v>
                </c:pt>
                <c:pt idx="4">
                  <c:v>0.66118421052631582</c:v>
                </c:pt>
                <c:pt idx="5">
                  <c:v>0.67822468793342583</c:v>
                </c:pt>
                <c:pt idx="6">
                  <c:v>0.7882483370288248</c:v>
                </c:pt>
                <c:pt idx="7">
                  <c:v>0.82046332046332049</c:v>
                </c:pt>
                <c:pt idx="8">
                  <c:v>0.771505376344086</c:v>
                </c:pt>
                <c:pt idx="9">
                  <c:v>0.77416595380667241</c:v>
                </c:pt>
                <c:pt idx="10">
                  <c:v>0.76301040832666134</c:v>
                </c:pt>
                <c:pt idx="11">
                  <c:v>0.76546003016591246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716144"/>
        <c:axId val="115271668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724848"/>
        <c:axId val="1152725936"/>
      </c:scatterChart>
      <c:catAx>
        <c:axId val="115271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5271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27166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152716144"/>
        <c:crosses val="autoZero"/>
        <c:crossBetween val="between"/>
      </c:valAx>
      <c:valAx>
        <c:axId val="11527248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52725936"/>
        <c:crosses val="max"/>
        <c:crossBetween val="midCat"/>
      </c:valAx>
      <c:valAx>
        <c:axId val="115272593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15272484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96" tableBorderDxfId="95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94"/>
    <tableColumn id="2" name="popis" dataDxfId="93"/>
    <tableColumn id="3" name="01 uv_sk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7">
      <calculatedColumnFormula>IF(Tabulka[[#This Row],[15_vzpl]]=0,"",Tabulka[[#This Row],[14_vzsk]]/Tabulka[[#This Row],[15_vzpl]])</calculatedColumnFormula>
    </tableColumn>
    <tableColumn id="20" name="17_vzroz" dataDxfId="7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53" totalsRowShown="0">
  <autoFilter ref="C3:S15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1" bestFit="1" customWidth="1"/>
    <col min="2" max="2" width="102.21875" style="231" bestFit="1" customWidth="1"/>
    <col min="3" max="3" width="16.109375" style="51" hidden="1" customWidth="1"/>
    <col min="4" max="16384" width="8.88671875" style="231"/>
  </cols>
  <sheetData>
    <row r="1" spans="1:3" ht="18.600000000000001" customHeight="1" thickBot="1" x14ac:dyDescent="0.4">
      <c r="A1" s="482" t="s">
        <v>118</v>
      </c>
      <c r="B1" s="482"/>
    </row>
    <row r="2" spans="1:3" ht="14.4" customHeight="1" thickBot="1" x14ac:dyDescent="0.35">
      <c r="A2" s="348" t="s">
        <v>297</v>
      </c>
      <c r="B2" s="50"/>
    </row>
    <row r="3" spans="1:3" ht="14.4" customHeight="1" thickBot="1" x14ac:dyDescent="0.35">
      <c r="A3" s="478" t="s">
        <v>162</v>
      </c>
      <c r="B3" s="479"/>
    </row>
    <row r="4" spans="1:3" ht="14.4" customHeight="1" x14ac:dyDescent="0.3">
      <c r="A4" s="246" t="str">
        <f t="shared" ref="A4:A8" si="0">HYPERLINK("#'"&amp;C4&amp;"'!A1",C4)</f>
        <v>Motivace</v>
      </c>
      <c r="B4" s="163" t="s">
        <v>135</v>
      </c>
      <c r="C4" s="51" t="s">
        <v>136</v>
      </c>
    </row>
    <row r="5" spans="1:3" ht="14.4" customHeight="1" x14ac:dyDescent="0.3">
      <c r="A5" s="247" t="str">
        <f t="shared" si="0"/>
        <v>HI</v>
      </c>
      <c r="B5" s="164" t="s">
        <v>156</v>
      </c>
      <c r="C5" s="51" t="s">
        <v>122</v>
      </c>
    </row>
    <row r="6" spans="1:3" ht="14.4" customHeight="1" x14ac:dyDescent="0.3">
      <c r="A6" s="248" t="str">
        <f t="shared" si="0"/>
        <v>HI Graf</v>
      </c>
      <c r="B6" s="165" t="s">
        <v>114</v>
      </c>
      <c r="C6" s="51" t="s">
        <v>123</v>
      </c>
    </row>
    <row r="7" spans="1:3" ht="14.4" customHeight="1" x14ac:dyDescent="0.3">
      <c r="A7" s="248" t="str">
        <f t="shared" si="0"/>
        <v>Man Tab</v>
      </c>
      <c r="B7" s="165" t="s">
        <v>299</v>
      </c>
      <c r="C7" s="51" t="s">
        <v>124</v>
      </c>
    </row>
    <row r="8" spans="1:3" ht="14.4" customHeight="1" thickBot="1" x14ac:dyDescent="0.35">
      <c r="A8" s="249" t="str">
        <f t="shared" si="0"/>
        <v>HV</v>
      </c>
      <c r="B8" s="166" t="s">
        <v>48</v>
      </c>
      <c r="C8" s="51" t="s">
        <v>53</v>
      </c>
    </row>
    <row r="9" spans="1:3" ht="14.4" customHeight="1" thickBot="1" x14ac:dyDescent="0.35">
      <c r="A9" s="167"/>
      <c r="B9" s="167"/>
    </row>
    <row r="10" spans="1:3" ht="14.4" customHeight="1" thickBot="1" x14ac:dyDescent="0.35">
      <c r="A10" s="480" t="s">
        <v>119</v>
      </c>
      <c r="B10" s="479"/>
    </row>
    <row r="11" spans="1:3" ht="14.4" customHeight="1" x14ac:dyDescent="0.3">
      <c r="A11" s="250" t="str">
        <f t="shared" ref="A11" si="1">HYPERLINK("#'"&amp;C11&amp;"'!A1",C11)</f>
        <v>Léky Žádanky</v>
      </c>
      <c r="B11" s="164" t="s">
        <v>157</v>
      </c>
      <c r="C11" s="51" t="s">
        <v>125</v>
      </c>
    </row>
    <row r="12" spans="1:3" ht="14.4" customHeight="1" x14ac:dyDescent="0.3">
      <c r="A12" s="248" t="str">
        <f t="shared" ref="A12:A18" si="2">HYPERLINK("#'"&amp;C12&amp;"'!A1",C12)</f>
        <v>LŽ Detail</v>
      </c>
      <c r="B12" s="165" t="s">
        <v>179</v>
      </c>
      <c r="C12" s="51" t="s">
        <v>126</v>
      </c>
    </row>
    <row r="13" spans="1:3" ht="28.8" customHeight="1" x14ac:dyDescent="0.3">
      <c r="A13" s="248" t="str">
        <f t="shared" si="2"/>
        <v>LŽ PL</v>
      </c>
      <c r="B13" s="722" t="s">
        <v>180</v>
      </c>
      <c r="C13" s="51" t="s">
        <v>166</v>
      </c>
    </row>
    <row r="14" spans="1:3" ht="14.4" customHeight="1" x14ac:dyDescent="0.3">
      <c r="A14" s="248" t="str">
        <f t="shared" si="2"/>
        <v>LŽ PL Detail</v>
      </c>
      <c r="B14" s="165" t="s">
        <v>1860</v>
      </c>
      <c r="C14" s="51" t="s">
        <v>167</v>
      </c>
    </row>
    <row r="15" spans="1:3" ht="14.4" customHeight="1" x14ac:dyDescent="0.3">
      <c r="A15" s="248" t="str">
        <f t="shared" si="2"/>
        <v>LŽ Statim</v>
      </c>
      <c r="B15" s="375" t="s">
        <v>215</v>
      </c>
      <c r="C15" s="51" t="s">
        <v>225</v>
      </c>
    </row>
    <row r="16" spans="1:3" ht="14.4" customHeight="1" x14ac:dyDescent="0.3">
      <c r="A16" s="250" t="str">
        <f t="shared" ref="A16" si="3">HYPERLINK("#'"&amp;C16&amp;"'!A1",C16)</f>
        <v>Materiál Žádanky</v>
      </c>
      <c r="B16" s="165" t="s">
        <v>158</v>
      </c>
      <c r="C16" s="51" t="s">
        <v>127</v>
      </c>
    </row>
    <row r="17" spans="1:3" ht="14.4" customHeight="1" x14ac:dyDescent="0.3">
      <c r="A17" s="248" t="str">
        <f t="shared" si="2"/>
        <v>MŽ Detail</v>
      </c>
      <c r="B17" s="165" t="s">
        <v>2680</v>
      </c>
      <c r="C17" s="51" t="s">
        <v>128</v>
      </c>
    </row>
    <row r="18" spans="1:3" ht="14.4" customHeight="1" thickBot="1" x14ac:dyDescent="0.35">
      <c r="A18" s="250" t="str">
        <f t="shared" si="2"/>
        <v>Osobní náklady</v>
      </c>
      <c r="B18" s="165" t="s">
        <v>116</v>
      </c>
      <c r="C18" s="51" t="s">
        <v>129</v>
      </c>
    </row>
    <row r="19" spans="1:3" ht="14.4" customHeight="1" thickBot="1" x14ac:dyDescent="0.35">
      <c r="A19" s="168"/>
      <c r="B19" s="168"/>
    </row>
    <row r="20" spans="1:3" ht="14.4" customHeight="1" thickBot="1" x14ac:dyDescent="0.35">
      <c r="A20" s="481" t="s">
        <v>120</v>
      </c>
      <c r="B20" s="479"/>
    </row>
    <row r="21" spans="1:3" ht="14.4" customHeight="1" x14ac:dyDescent="0.3">
      <c r="A21" s="248" t="str">
        <f t="shared" ref="A21:A28" si="4">HYPERLINK("#'"&amp;C21&amp;"'!A1",C21)</f>
        <v>ZV Vykáz.-H</v>
      </c>
      <c r="B21" s="165" t="s">
        <v>139</v>
      </c>
      <c r="C21" s="51" t="s">
        <v>137</v>
      </c>
    </row>
    <row r="22" spans="1:3" ht="14.4" customHeight="1" x14ac:dyDescent="0.3">
      <c r="A22" s="248" t="str">
        <f t="shared" si="4"/>
        <v>ZV Vykáz.-H Detail</v>
      </c>
      <c r="B22" s="165" t="s">
        <v>3945</v>
      </c>
      <c r="C22" s="51" t="s">
        <v>138</v>
      </c>
    </row>
    <row r="23" spans="1:3" ht="14.4" customHeight="1" x14ac:dyDescent="0.3">
      <c r="A23" s="251" t="str">
        <f t="shared" si="4"/>
        <v>CaseMix</v>
      </c>
      <c r="B23" s="165" t="s">
        <v>121</v>
      </c>
      <c r="C23" s="51" t="s">
        <v>130</v>
      </c>
    </row>
    <row r="24" spans="1:3" ht="14.4" customHeight="1" x14ac:dyDescent="0.3">
      <c r="A24" s="248" t="str">
        <f t="shared" si="4"/>
        <v>ALOS</v>
      </c>
      <c r="B24" s="165" t="s">
        <v>101</v>
      </c>
      <c r="C24" s="51" t="s">
        <v>72</v>
      </c>
    </row>
    <row r="25" spans="1:3" ht="14.4" customHeight="1" x14ac:dyDescent="0.3">
      <c r="A25" s="248" t="str">
        <f t="shared" si="4"/>
        <v>Total</v>
      </c>
      <c r="B25" s="165" t="s">
        <v>4113</v>
      </c>
      <c r="C25" s="51" t="s">
        <v>131</v>
      </c>
    </row>
    <row r="26" spans="1:3" ht="14.4" customHeight="1" x14ac:dyDescent="0.3">
      <c r="A26" s="248" t="str">
        <f t="shared" si="4"/>
        <v>ZV Vyžád.</v>
      </c>
      <c r="B26" s="165" t="s">
        <v>140</v>
      </c>
      <c r="C26" s="51" t="s">
        <v>134</v>
      </c>
    </row>
    <row r="27" spans="1:3" ht="14.4" customHeight="1" x14ac:dyDescent="0.3">
      <c r="A27" s="248" t="str">
        <f t="shared" si="4"/>
        <v>ZV Vyžád. Detail</v>
      </c>
      <c r="B27" s="165" t="s">
        <v>5133</v>
      </c>
      <c r="C27" s="51" t="s">
        <v>133</v>
      </c>
    </row>
    <row r="28" spans="1:3" ht="14.4" customHeight="1" x14ac:dyDescent="0.3">
      <c r="A28" s="248" t="str">
        <f t="shared" si="4"/>
        <v>OD TISS</v>
      </c>
      <c r="B28" s="165" t="s">
        <v>161</v>
      </c>
      <c r="C28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4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1" bestFit="1" customWidth="1"/>
    <col min="2" max="2" width="8.88671875" style="231" bestFit="1" customWidth="1"/>
    <col min="3" max="3" width="7" style="231" bestFit="1" customWidth="1"/>
    <col min="4" max="4" width="53.44140625" style="231" bestFit="1" customWidth="1"/>
    <col min="5" max="5" width="28.44140625" style="231" bestFit="1" customWidth="1"/>
    <col min="6" max="6" width="6.6640625" style="310" customWidth="1"/>
    <col min="7" max="7" width="10" style="310" customWidth="1"/>
    <col min="8" max="8" width="6.77734375" style="313" bestFit="1" customWidth="1"/>
    <col min="9" max="9" width="6.6640625" style="310" customWidth="1"/>
    <col min="10" max="10" width="10.88671875" style="310" customWidth="1"/>
    <col min="11" max="11" width="6.77734375" style="313" bestFit="1" customWidth="1"/>
    <col min="12" max="12" width="6.6640625" style="310" customWidth="1"/>
    <col min="13" max="13" width="10.88671875" style="310" customWidth="1"/>
    <col min="14" max="16384" width="8.88671875" style="231"/>
  </cols>
  <sheetData>
    <row r="1" spans="1:13" ht="18.600000000000001" customHeight="1" thickBot="1" x14ac:dyDescent="0.4">
      <c r="A1" s="521" t="s">
        <v>1860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482"/>
      <c r="M1" s="482"/>
    </row>
    <row r="2" spans="1:13" ht="14.4" customHeight="1" thickBot="1" x14ac:dyDescent="0.35">
      <c r="A2" s="348" t="s">
        <v>297</v>
      </c>
      <c r="B2" s="309"/>
      <c r="C2" s="309"/>
      <c r="D2" s="309"/>
      <c r="E2" s="309"/>
      <c r="F2" s="317"/>
      <c r="G2" s="317"/>
      <c r="H2" s="318"/>
      <c r="I2" s="317"/>
      <c r="J2" s="317"/>
      <c r="K2" s="318"/>
      <c r="L2" s="317"/>
    </row>
    <row r="3" spans="1:13" ht="14.4" customHeight="1" thickBot="1" x14ac:dyDescent="0.35">
      <c r="E3" s="95" t="s">
        <v>141</v>
      </c>
      <c r="F3" s="47">
        <f>SUBTOTAL(9,F6:F1048576)</f>
        <v>2051.1999999999998</v>
      </c>
      <c r="G3" s="47">
        <f>SUBTOTAL(9,G6:G1048576)</f>
        <v>223813.72199999998</v>
      </c>
      <c r="H3" s="48">
        <f>IF(M3=0,0,G3/M3)</f>
        <v>8.6622775199575161E-2</v>
      </c>
      <c r="I3" s="47">
        <f>SUBTOTAL(9,I6:I1048576)</f>
        <v>7353.9999999999982</v>
      </c>
      <c r="J3" s="47">
        <f>SUBTOTAL(9,J6:J1048576)</f>
        <v>2359960.8278726274</v>
      </c>
      <c r="K3" s="48">
        <f>IF(M3=0,0,J3/M3)</f>
        <v>0.91337722480042538</v>
      </c>
      <c r="L3" s="47">
        <f>SUBTOTAL(9,L6:L1048576)</f>
        <v>9405.1999999999989</v>
      </c>
      <c r="M3" s="49">
        <f>SUBTOTAL(9,M6:M1048576)</f>
        <v>2583774.5498726261</v>
      </c>
    </row>
    <row r="4" spans="1:13" ht="14.4" customHeight="1" thickBot="1" x14ac:dyDescent="0.35">
      <c r="A4" s="45"/>
      <c r="B4" s="45"/>
      <c r="C4" s="45"/>
      <c r="D4" s="45"/>
      <c r="E4" s="46"/>
      <c r="F4" s="525" t="s">
        <v>143</v>
      </c>
      <c r="G4" s="526"/>
      <c r="H4" s="527"/>
      <c r="I4" s="528" t="s">
        <v>142</v>
      </c>
      <c r="J4" s="526"/>
      <c r="K4" s="527"/>
      <c r="L4" s="529" t="s">
        <v>3</v>
      </c>
      <c r="M4" s="530"/>
    </row>
    <row r="5" spans="1:13" ht="14.4" customHeight="1" thickBot="1" x14ac:dyDescent="0.35">
      <c r="A5" s="710" t="s">
        <v>144</v>
      </c>
      <c r="B5" s="730" t="s">
        <v>145</v>
      </c>
      <c r="C5" s="730" t="s">
        <v>76</v>
      </c>
      <c r="D5" s="730" t="s">
        <v>146</v>
      </c>
      <c r="E5" s="730" t="s">
        <v>147</v>
      </c>
      <c r="F5" s="731" t="s">
        <v>15</v>
      </c>
      <c r="G5" s="731" t="s">
        <v>14</v>
      </c>
      <c r="H5" s="712" t="s">
        <v>148</v>
      </c>
      <c r="I5" s="711" t="s">
        <v>15</v>
      </c>
      <c r="J5" s="731" t="s">
        <v>14</v>
      </c>
      <c r="K5" s="712" t="s">
        <v>148</v>
      </c>
      <c r="L5" s="711" t="s">
        <v>15</v>
      </c>
      <c r="M5" s="732" t="s">
        <v>14</v>
      </c>
    </row>
    <row r="6" spans="1:13" ht="14.4" customHeight="1" x14ac:dyDescent="0.3">
      <c r="A6" s="689" t="s">
        <v>519</v>
      </c>
      <c r="B6" s="690" t="s">
        <v>1491</v>
      </c>
      <c r="C6" s="690" t="s">
        <v>1492</v>
      </c>
      <c r="D6" s="690" t="s">
        <v>668</v>
      </c>
      <c r="E6" s="690" t="s">
        <v>1493</v>
      </c>
      <c r="F6" s="694"/>
      <c r="G6" s="694"/>
      <c r="H6" s="715">
        <v>0</v>
      </c>
      <c r="I6" s="694">
        <v>2900</v>
      </c>
      <c r="J6" s="694">
        <v>48098.240000000005</v>
      </c>
      <c r="K6" s="715">
        <v>1</v>
      </c>
      <c r="L6" s="694">
        <v>2900</v>
      </c>
      <c r="M6" s="695">
        <v>48098.240000000005</v>
      </c>
    </row>
    <row r="7" spans="1:13" ht="14.4" customHeight="1" x14ac:dyDescent="0.3">
      <c r="A7" s="696" t="s">
        <v>519</v>
      </c>
      <c r="B7" s="697" t="s">
        <v>1491</v>
      </c>
      <c r="C7" s="697" t="s">
        <v>1494</v>
      </c>
      <c r="D7" s="697" t="s">
        <v>1495</v>
      </c>
      <c r="E7" s="697" t="s">
        <v>1496</v>
      </c>
      <c r="F7" s="701"/>
      <c r="G7" s="701"/>
      <c r="H7" s="723">
        <v>0</v>
      </c>
      <c r="I7" s="701">
        <v>3</v>
      </c>
      <c r="J7" s="701">
        <v>129.02000000000004</v>
      </c>
      <c r="K7" s="723">
        <v>1</v>
      </c>
      <c r="L7" s="701">
        <v>3</v>
      </c>
      <c r="M7" s="702">
        <v>129.02000000000004</v>
      </c>
    </row>
    <row r="8" spans="1:13" ht="14.4" customHeight="1" x14ac:dyDescent="0.3">
      <c r="A8" s="696" t="s">
        <v>519</v>
      </c>
      <c r="B8" s="697" t="s">
        <v>1497</v>
      </c>
      <c r="C8" s="697" t="s">
        <v>1498</v>
      </c>
      <c r="D8" s="697" t="s">
        <v>1499</v>
      </c>
      <c r="E8" s="697" t="s">
        <v>1500</v>
      </c>
      <c r="F8" s="701"/>
      <c r="G8" s="701"/>
      <c r="H8" s="723">
        <v>0</v>
      </c>
      <c r="I8" s="701">
        <v>1</v>
      </c>
      <c r="J8" s="701">
        <v>123.30999999999999</v>
      </c>
      <c r="K8" s="723">
        <v>1</v>
      </c>
      <c r="L8" s="701">
        <v>1</v>
      </c>
      <c r="M8" s="702">
        <v>123.30999999999999</v>
      </c>
    </row>
    <row r="9" spans="1:13" ht="14.4" customHeight="1" x14ac:dyDescent="0.3">
      <c r="A9" s="696" t="s">
        <v>519</v>
      </c>
      <c r="B9" s="697" t="s">
        <v>1497</v>
      </c>
      <c r="C9" s="697" t="s">
        <v>1501</v>
      </c>
      <c r="D9" s="697" t="s">
        <v>1499</v>
      </c>
      <c r="E9" s="697" t="s">
        <v>1502</v>
      </c>
      <c r="F9" s="701"/>
      <c r="G9" s="701"/>
      <c r="H9" s="723">
        <v>0</v>
      </c>
      <c r="I9" s="701">
        <v>1</v>
      </c>
      <c r="J9" s="701">
        <v>312.47000000000014</v>
      </c>
      <c r="K9" s="723">
        <v>1</v>
      </c>
      <c r="L9" s="701">
        <v>1</v>
      </c>
      <c r="M9" s="702">
        <v>312.47000000000014</v>
      </c>
    </row>
    <row r="10" spans="1:13" ht="14.4" customHeight="1" x14ac:dyDescent="0.3">
      <c r="A10" s="696" t="s">
        <v>519</v>
      </c>
      <c r="B10" s="697" t="s">
        <v>1503</v>
      </c>
      <c r="C10" s="697" t="s">
        <v>1504</v>
      </c>
      <c r="D10" s="697" t="s">
        <v>1505</v>
      </c>
      <c r="E10" s="697" t="s">
        <v>1506</v>
      </c>
      <c r="F10" s="701"/>
      <c r="G10" s="701"/>
      <c r="H10" s="723">
        <v>0</v>
      </c>
      <c r="I10" s="701">
        <v>1</v>
      </c>
      <c r="J10" s="701">
        <v>339.56000000000006</v>
      </c>
      <c r="K10" s="723">
        <v>1</v>
      </c>
      <c r="L10" s="701">
        <v>1</v>
      </c>
      <c r="M10" s="702">
        <v>339.56000000000006</v>
      </c>
    </row>
    <row r="11" spans="1:13" ht="14.4" customHeight="1" x14ac:dyDescent="0.3">
      <c r="A11" s="696" t="s">
        <v>519</v>
      </c>
      <c r="B11" s="697" t="s">
        <v>1503</v>
      </c>
      <c r="C11" s="697" t="s">
        <v>1507</v>
      </c>
      <c r="D11" s="697" t="s">
        <v>1508</v>
      </c>
      <c r="E11" s="697" t="s">
        <v>1509</v>
      </c>
      <c r="F11" s="701"/>
      <c r="G11" s="701"/>
      <c r="H11" s="723">
        <v>0</v>
      </c>
      <c r="I11" s="701">
        <v>18</v>
      </c>
      <c r="J11" s="701">
        <v>4930.2</v>
      </c>
      <c r="K11" s="723">
        <v>1</v>
      </c>
      <c r="L11" s="701">
        <v>18</v>
      </c>
      <c r="M11" s="702">
        <v>4930.2</v>
      </c>
    </row>
    <row r="12" spans="1:13" ht="14.4" customHeight="1" x14ac:dyDescent="0.3">
      <c r="A12" s="696" t="s">
        <v>519</v>
      </c>
      <c r="B12" s="697" t="s">
        <v>1510</v>
      </c>
      <c r="C12" s="697" t="s">
        <v>1511</v>
      </c>
      <c r="D12" s="697" t="s">
        <v>715</v>
      </c>
      <c r="E12" s="697" t="s">
        <v>1512</v>
      </c>
      <c r="F12" s="701"/>
      <c r="G12" s="701"/>
      <c r="H12" s="723">
        <v>0</v>
      </c>
      <c r="I12" s="701">
        <v>11</v>
      </c>
      <c r="J12" s="701">
        <v>729.74000000000012</v>
      </c>
      <c r="K12" s="723">
        <v>1</v>
      </c>
      <c r="L12" s="701">
        <v>11</v>
      </c>
      <c r="M12" s="702">
        <v>729.74000000000012</v>
      </c>
    </row>
    <row r="13" spans="1:13" ht="14.4" customHeight="1" x14ac:dyDescent="0.3">
      <c r="A13" s="696" t="s">
        <v>519</v>
      </c>
      <c r="B13" s="697" t="s">
        <v>1513</v>
      </c>
      <c r="C13" s="697" t="s">
        <v>1514</v>
      </c>
      <c r="D13" s="697" t="s">
        <v>1084</v>
      </c>
      <c r="E13" s="697" t="s">
        <v>1515</v>
      </c>
      <c r="F13" s="701"/>
      <c r="G13" s="701"/>
      <c r="H13" s="723">
        <v>0</v>
      </c>
      <c r="I13" s="701">
        <v>1</v>
      </c>
      <c r="J13" s="701">
        <v>103.76999999999998</v>
      </c>
      <c r="K13" s="723">
        <v>1</v>
      </c>
      <c r="L13" s="701">
        <v>1</v>
      </c>
      <c r="M13" s="702">
        <v>103.76999999999998</v>
      </c>
    </row>
    <row r="14" spans="1:13" ht="14.4" customHeight="1" x14ac:dyDescent="0.3">
      <c r="A14" s="696" t="s">
        <v>519</v>
      </c>
      <c r="B14" s="697" t="s">
        <v>1516</v>
      </c>
      <c r="C14" s="697" t="s">
        <v>1517</v>
      </c>
      <c r="D14" s="697" t="s">
        <v>1518</v>
      </c>
      <c r="E14" s="697" t="s">
        <v>1519</v>
      </c>
      <c r="F14" s="701"/>
      <c r="G14" s="701"/>
      <c r="H14" s="723">
        <v>0</v>
      </c>
      <c r="I14" s="701">
        <v>83</v>
      </c>
      <c r="J14" s="701">
        <v>33723.810000000005</v>
      </c>
      <c r="K14" s="723">
        <v>1</v>
      </c>
      <c r="L14" s="701">
        <v>83</v>
      </c>
      <c r="M14" s="702">
        <v>33723.810000000005</v>
      </c>
    </row>
    <row r="15" spans="1:13" ht="14.4" customHeight="1" x14ac:dyDescent="0.3">
      <c r="A15" s="696" t="s">
        <v>519</v>
      </c>
      <c r="B15" s="697" t="s">
        <v>1520</v>
      </c>
      <c r="C15" s="697" t="s">
        <v>1521</v>
      </c>
      <c r="D15" s="697" t="s">
        <v>789</v>
      </c>
      <c r="E15" s="697" t="s">
        <v>790</v>
      </c>
      <c r="F15" s="701">
        <v>1</v>
      </c>
      <c r="G15" s="701">
        <v>115.34</v>
      </c>
      <c r="H15" s="723">
        <v>1</v>
      </c>
      <c r="I15" s="701"/>
      <c r="J15" s="701"/>
      <c r="K15" s="723">
        <v>0</v>
      </c>
      <c r="L15" s="701">
        <v>1</v>
      </c>
      <c r="M15" s="702">
        <v>115.34</v>
      </c>
    </row>
    <row r="16" spans="1:13" ht="14.4" customHeight="1" x14ac:dyDescent="0.3">
      <c r="A16" s="696" t="s">
        <v>519</v>
      </c>
      <c r="B16" s="697" t="s">
        <v>1522</v>
      </c>
      <c r="C16" s="697" t="s">
        <v>1523</v>
      </c>
      <c r="D16" s="697" t="s">
        <v>1524</v>
      </c>
      <c r="E16" s="697" t="s">
        <v>1525</v>
      </c>
      <c r="F16" s="701"/>
      <c r="G16" s="701"/>
      <c r="H16" s="723">
        <v>0</v>
      </c>
      <c r="I16" s="701">
        <v>1</v>
      </c>
      <c r="J16" s="701">
        <v>137.53</v>
      </c>
      <c r="K16" s="723">
        <v>1</v>
      </c>
      <c r="L16" s="701">
        <v>1</v>
      </c>
      <c r="M16" s="702">
        <v>137.53</v>
      </c>
    </row>
    <row r="17" spans="1:13" ht="14.4" customHeight="1" x14ac:dyDescent="0.3">
      <c r="A17" s="696" t="s">
        <v>519</v>
      </c>
      <c r="B17" s="697" t="s">
        <v>1526</v>
      </c>
      <c r="C17" s="697" t="s">
        <v>1527</v>
      </c>
      <c r="D17" s="697" t="s">
        <v>770</v>
      </c>
      <c r="E17" s="697" t="s">
        <v>1528</v>
      </c>
      <c r="F17" s="701"/>
      <c r="G17" s="701"/>
      <c r="H17" s="723">
        <v>0</v>
      </c>
      <c r="I17" s="701">
        <v>38</v>
      </c>
      <c r="J17" s="701">
        <v>125400</v>
      </c>
      <c r="K17" s="723">
        <v>1</v>
      </c>
      <c r="L17" s="701">
        <v>38</v>
      </c>
      <c r="M17" s="702">
        <v>125400</v>
      </c>
    </row>
    <row r="18" spans="1:13" ht="14.4" customHeight="1" x14ac:dyDescent="0.3">
      <c r="A18" s="696" t="s">
        <v>519</v>
      </c>
      <c r="B18" s="697" t="s">
        <v>1526</v>
      </c>
      <c r="C18" s="697" t="s">
        <v>1529</v>
      </c>
      <c r="D18" s="697" t="s">
        <v>772</v>
      </c>
      <c r="E18" s="697" t="s">
        <v>1530</v>
      </c>
      <c r="F18" s="701"/>
      <c r="G18" s="701"/>
      <c r="H18" s="723">
        <v>0</v>
      </c>
      <c r="I18" s="701">
        <v>2</v>
      </c>
      <c r="J18" s="701">
        <v>817.9</v>
      </c>
      <c r="K18" s="723">
        <v>1</v>
      </c>
      <c r="L18" s="701">
        <v>2</v>
      </c>
      <c r="M18" s="702">
        <v>817.9</v>
      </c>
    </row>
    <row r="19" spans="1:13" ht="14.4" customHeight="1" x14ac:dyDescent="0.3">
      <c r="A19" s="696" t="s">
        <v>519</v>
      </c>
      <c r="B19" s="697" t="s">
        <v>1531</v>
      </c>
      <c r="C19" s="697" t="s">
        <v>1532</v>
      </c>
      <c r="D19" s="697" t="s">
        <v>1533</v>
      </c>
      <c r="E19" s="697" t="s">
        <v>1534</v>
      </c>
      <c r="F19" s="701"/>
      <c r="G19" s="701"/>
      <c r="H19" s="723">
        <v>0</v>
      </c>
      <c r="I19" s="701">
        <v>1</v>
      </c>
      <c r="J19" s="701">
        <v>69.55000000000004</v>
      </c>
      <c r="K19" s="723">
        <v>1</v>
      </c>
      <c r="L19" s="701">
        <v>1</v>
      </c>
      <c r="M19" s="702">
        <v>69.55000000000004</v>
      </c>
    </row>
    <row r="20" spans="1:13" ht="14.4" customHeight="1" x14ac:dyDescent="0.3">
      <c r="A20" s="696" t="s">
        <v>519</v>
      </c>
      <c r="B20" s="697" t="s">
        <v>1531</v>
      </c>
      <c r="C20" s="697" t="s">
        <v>1535</v>
      </c>
      <c r="D20" s="697" t="s">
        <v>1180</v>
      </c>
      <c r="E20" s="697" t="s">
        <v>1181</v>
      </c>
      <c r="F20" s="701">
        <v>1</v>
      </c>
      <c r="G20" s="701">
        <v>227.24999999999989</v>
      </c>
      <c r="H20" s="723">
        <v>1</v>
      </c>
      <c r="I20" s="701"/>
      <c r="J20" s="701"/>
      <c r="K20" s="723">
        <v>0</v>
      </c>
      <c r="L20" s="701">
        <v>1</v>
      </c>
      <c r="M20" s="702">
        <v>227.24999999999989</v>
      </c>
    </row>
    <row r="21" spans="1:13" ht="14.4" customHeight="1" x14ac:dyDescent="0.3">
      <c r="A21" s="696" t="s">
        <v>519</v>
      </c>
      <c r="B21" s="697" t="s">
        <v>1536</v>
      </c>
      <c r="C21" s="697" t="s">
        <v>1537</v>
      </c>
      <c r="D21" s="697" t="s">
        <v>1538</v>
      </c>
      <c r="E21" s="697" t="s">
        <v>1539</v>
      </c>
      <c r="F21" s="701"/>
      <c r="G21" s="701"/>
      <c r="H21" s="723">
        <v>0</v>
      </c>
      <c r="I21" s="701">
        <v>1</v>
      </c>
      <c r="J21" s="701">
        <v>119.20000000000003</v>
      </c>
      <c r="K21" s="723">
        <v>1</v>
      </c>
      <c r="L21" s="701">
        <v>1</v>
      </c>
      <c r="M21" s="702">
        <v>119.20000000000003</v>
      </c>
    </row>
    <row r="22" spans="1:13" ht="14.4" customHeight="1" x14ac:dyDescent="0.3">
      <c r="A22" s="696" t="s">
        <v>519</v>
      </c>
      <c r="B22" s="697" t="s">
        <v>1540</v>
      </c>
      <c r="C22" s="697" t="s">
        <v>1541</v>
      </c>
      <c r="D22" s="697" t="s">
        <v>670</v>
      </c>
      <c r="E22" s="697" t="s">
        <v>1542</v>
      </c>
      <c r="F22" s="701"/>
      <c r="G22" s="701"/>
      <c r="H22" s="723">
        <v>0</v>
      </c>
      <c r="I22" s="701">
        <v>190</v>
      </c>
      <c r="J22" s="701">
        <v>24411.109999999993</v>
      </c>
      <c r="K22" s="723">
        <v>1</v>
      </c>
      <c r="L22" s="701">
        <v>190</v>
      </c>
      <c r="M22" s="702">
        <v>24411.109999999993</v>
      </c>
    </row>
    <row r="23" spans="1:13" ht="14.4" customHeight="1" x14ac:dyDescent="0.3">
      <c r="A23" s="696" t="s">
        <v>519</v>
      </c>
      <c r="B23" s="697" t="s">
        <v>1540</v>
      </c>
      <c r="C23" s="697" t="s">
        <v>1543</v>
      </c>
      <c r="D23" s="697" t="s">
        <v>670</v>
      </c>
      <c r="E23" s="697" t="s">
        <v>1544</v>
      </c>
      <c r="F23" s="701"/>
      <c r="G23" s="701"/>
      <c r="H23" s="723">
        <v>0</v>
      </c>
      <c r="I23" s="701">
        <v>2</v>
      </c>
      <c r="J23" s="701">
        <v>89.32</v>
      </c>
      <c r="K23" s="723">
        <v>1</v>
      </c>
      <c r="L23" s="701">
        <v>2</v>
      </c>
      <c r="M23" s="702">
        <v>89.32</v>
      </c>
    </row>
    <row r="24" spans="1:13" ht="14.4" customHeight="1" x14ac:dyDescent="0.3">
      <c r="A24" s="696" t="s">
        <v>519</v>
      </c>
      <c r="B24" s="697" t="s">
        <v>1540</v>
      </c>
      <c r="C24" s="697" t="s">
        <v>1545</v>
      </c>
      <c r="D24" s="697" t="s">
        <v>670</v>
      </c>
      <c r="E24" s="697" t="s">
        <v>1546</v>
      </c>
      <c r="F24" s="701"/>
      <c r="G24" s="701"/>
      <c r="H24" s="723">
        <v>0</v>
      </c>
      <c r="I24" s="701">
        <v>3</v>
      </c>
      <c r="J24" s="701">
        <v>267.93</v>
      </c>
      <c r="K24" s="723">
        <v>1</v>
      </c>
      <c r="L24" s="701">
        <v>3</v>
      </c>
      <c r="M24" s="702">
        <v>267.93</v>
      </c>
    </row>
    <row r="25" spans="1:13" ht="14.4" customHeight="1" x14ac:dyDescent="0.3">
      <c r="A25" s="696" t="s">
        <v>519</v>
      </c>
      <c r="B25" s="697" t="s">
        <v>1547</v>
      </c>
      <c r="C25" s="697" t="s">
        <v>1548</v>
      </c>
      <c r="D25" s="697" t="s">
        <v>777</v>
      </c>
      <c r="E25" s="697" t="s">
        <v>778</v>
      </c>
      <c r="F25" s="701"/>
      <c r="G25" s="701"/>
      <c r="H25" s="723">
        <v>0</v>
      </c>
      <c r="I25" s="701">
        <v>610</v>
      </c>
      <c r="J25" s="701">
        <v>24637.899999999998</v>
      </c>
      <c r="K25" s="723">
        <v>1</v>
      </c>
      <c r="L25" s="701">
        <v>610</v>
      </c>
      <c r="M25" s="702">
        <v>24637.899999999998</v>
      </c>
    </row>
    <row r="26" spans="1:13" ht="14.4" customHeight="1" x14ac:dyDescent="0.3">
      <c r="A26" s="696" t="s">
        <v>519</v>
      </c>
      <c r="B26" s="697" t="s">
        <v>1547</v>
      </c>
      <c r="C26" s="697" t="s">
        <v>1549</v>
      </c>
      <c r="D26" s="697" t="s">
        <v>776</v>
      </c>
      <c r="E26" s="697" t="s">
        <v>1550</v>
      </c>
      <c r="F26" s="701"/>
      <c r="G26" s="701"/>
      <c r="H26" s="723">
        <v>0</v>
      </c>
      <c r="I26" s="701">
        <v>1</v>
      </c>
      <c r="J26" s="701">
        <v>31.65</v>
      </c>
      <c r="K26" s="723">
        <v>1</v>
      </c>
      <c r="L26" s="701">
        <v>1</v>
      </c>
      <c r="M26" s="702">
        <v>31.65</v>
      </c>
    </row>
    <row r="27" spans="1:13" ht="14.4" customHeight="1" x14ac:dyDescent="0.3">
      <c r="A27" s="696" t="s">
        <v>519</v>
      </c>
      <c r="B27" s="697" t="s">
        <v>1547</v>
      </c>
      <c r="C27" s="697" t="s">
        <v>1551</v>
      </c>
      <c r="D27" s="697" t="s">
        <v>774</v>
      </c>
      <c r="E27" s="697" t="s">
        <v>1550</v>
      </c>
      <c r="F27" s="701">
        <v>5</v>
      </c>
      <c r="G27" s="701">
        <v>296.5</v>
      </c>
      <c r="H27" s="723">
        <v>1</v>
      </c>
      <c r="I27" s="701"/>
      <c r="J27" s="701"/>
      <c r="K27" s="723">
        <v>0</v>
      </c>
      <c r="L27" s="701">
        <v>5</v>
      </c>
      <c r="M27" s="702">
        <v>296.5</v>
      </c>
    </row>
    <row r="28" spans="1:13" ht="14.4" customHeight="1" x14ac:dyDescent="0.3">
      <c r="A28" s="696" t="s">
        <v>519</v>
      </c>
      <c r="B28" s="697" t="s">
        <v>1552</v>
      </c>
      <c r="C28" s="697" t="s">
        <v>1553</v>
      </c>
      <c r="D28" s="697" t="s">
        <v>1554</v>
      </c>
      <c r="E28" s="697" t="s">
        <v>1555</v>
      </c>
      <c r="F28" s="701">
        <v>39</v>
      </c>
      <c r="G28" s="701">
        <v>2633.44</v>
      </c>
      <c r="H28" s="723">
        <v>1</v>
      </c>
      <c r="I28" s="701"/>
      <c r="J28" s="701"/>
      <c r="K28" s="723">
        <v>0</v>
      </c>
      <c r="L28" s="701">
        <v>39</v>
      </c>
      <c r="M28" s="702">
        <v>2633.44</v>
      </c>
    </row>
    <row r="29" spans="1:13" ht="14.4" customHeight="1" x14ac:dyDescent="0.3">
      <c r="A29" s="696" t="s">
        <v>519</v>
      </c>
      <c r="B29" s="697" t="s">
        <v>1556</v>
      </c>
      <c r="C29" s="697" t="s">
        <v>1557</v>
      </c>
      <c r="D29" s="697" t="s">
        <v>610</v>
      </c>
      <c r="E29" s="697" t="s">
        <v>1558</v>
      </c>
      <c r="F29" s="701"/>
      <c r="G29" s="701"/>
      <c r="H29" s="723">
        <v>0</v>
      </c>
      <c r="I29" s="701">
        <v>58</v>
      </c>
      <c r="J29" s="701">
        <v>5130.2300000000014</v>
      </c>
      <c r="K29" s="723">
        <v>1</v>
      </c>
      <c r="L29" s="701">
        <v>58</v>
      </c>
      <c r="M29" s="702">
        <v>5130.2300000000014</v>
      </c>
    </row>
    <row r="30" spans="1:13" ht="14.4" customHeight="1" x14ac:dyDescent="0.3">
      <c r="A30" s="696" t="s">
        <v>519</v>
      </c>
      <c r="B30" s="697" t="s">
        <v>1559</v>
      </c>
      <c r="C30" s="697" t="s">
        <v>1560</v>
      </c>
      <c r="D30" s="697" t="s">
        <v>589</v>
      </c>
      <c r="E30" s="697" t="s">
        <v>1561</v>
      </c>
      <c r="F30" s="701"/>
      <c r="G30" s="701"/>
      <c r="H30" s="723">
        <v>0</v>
      </c>
      <c r="I30" s="701">
        <v>1</v>
      </c>
      <c r="J30" s="701">
        <v>98</v>
      </c>
      <c r="K30" s="723">
        <v>1</v>
      </c>
      <c r="L30" s="701">
        <v>1</v>
      </c>
      <c r="M30" s="702">
        <v>98</v>
      </c>
    </row>
    <row r="31" spans="1:13" ht="14.4" customHeight="1" x14ac:dyDescent="0.3">
      <c r="A31" s="696" t="s">
        <v>519</v>
      </c>
      <c r="B31" s="697" t="s">
        <v>1562</v>
      </c>
      <c r="C31" s="697" t="s">
        <v>1563</v>
      </c>
      <c r="D31" s="697" t="s">
        <v>1564</v>
      </c>
      <c r="E31" s="697" t="s">
        <v>1565</v>
      </c>
      <c r="F31" s="701"/>
      <c r="G31" s="701"/>
      <c r="H31" s="723">
        <v>0</v>
      </c>
      <c r="I31" s="701">
        <v>3</v>
      </c>
      <c r="J31" s="701">
        <v>83.34</v>
      </c>
      <c r="K31" s="723">
        <v>1</v>
      </c>
      <c r="L31" s="701">
        <v>3</v>
      </c>
      <c r="M31" s="702">
        <v>83.34</v>
      </c>
    </row>
    <row r="32" spans="1:13" ht="14.4" customHeight="1" x14ac:dyDescent="0.3">
      <c r="A32" s="696" t="s">
        <v>519</v>
      </c>
      <c r="B32" s="697" t="s">
        <v>1566</v>
      </c>
      <c r="C32" s="697" t="s">
        <v>1567</v>
      </c>
      <c r="D32" s="697" t="s">
        <v>1568</v>
      </c>
      <c r="E32" s="697" t="s">
        <v>1569</v>
      </c>
      <c r="F32" s="701"/>
      <c r="G32" s="701"/>
      <c r="H32" s="723">
        <v>0</v>
      </c>
      <c r="I32" s="701">
        <v>1</v>
      </c>
      <c r="J32" s="701">
        <v>26.149999999999995</v>
      </c>
      <c r="K32" s="723">
        <v>1</v>
      </c>
      <c r="L32" s="701">
        <v>1</v>
      </c>
      <c r="M32" s="702">
        <v>26.149999999999995</v>
      </c>
    </row>
    <row r="33" spans="1:13" ht="14.4" customHeight="1" x14ac:dyDescent="0.3">
      <c r="A33" s="696" t="s">
        <v>519</v>
      </c>
      <c r="B33" s="697" t="s">
        <v>1566</v>
      </c>
      <c r="C33" s="697" t="s">
        <v>1570</v>
      </c>
      <c r="D33" s="697" t="s">
        <v>1568</v>
      </c>
      <c r="E33" s="697" t="s">
        <v>1571</v>
      </c>
      <c r="F33" s="701"/>
      <c r="G33" s="701"/>
      <c r="H33" s="723">
        <v>0</v>
      </c>
      <c r="I33" s="701">
        <v>3</v>
      </c>
      <c r="J33" s="701">
        <v>261.39</v>
      </c>
      <c r="K33" s="723">
        <v>1</v>
      </c>
      <c r="L33" s="701">
        <v>3</v>
      </c>
      <c r="M33" s="702">
        <v>261.39</v>
      </c>
    </row>
    <row r="34" spans="1:13" ht="14.4" customHeight="1" x14ac:dyDescent="0.3">
      <c r="A34" s="696" t="s">
        <v>519</v>
      </c>
      <c r="B34" s="697" t="s">
        <v>1566</v>
      </c>
      <c r="C34" s="697" t="s">
        <v>1572</v>
      </c>
      <c r="D34" s="697" t="s">
        <v>1573</v>
      </c>
      <c r="E34" s="697" t="s">
        <v>1569</v>
      </c>
      <c r="F34" s="701">
        <v>1</v>
      </c>
      <c r="G34" s="701">
        <v>102.30000000000003</v>
      </c>
      <c r="H34" s="723">
        <v>1</v>
      </c>
      <c r="I34" s="701"/>
      <c r="J34" s="701"/>
      <c r="K34" s="723">
        <v>0</v>
      </c>
      <c r="L34" s="701">
        <v>1</v>
      </c>
      <c r="M34" s="702">
        <v>102.30000000000003</v>
      </c>
    </row>
    <row r="35" spans="1:13" ht="14.4" customHeight="1" x14ac:dyDescent="0.3">
      <c r="A35" s="696" t="s">
        <v>519</v>
      </c>
      <c r="B35" s="697" t="s">
        <v>1574</v>
      </c>
      <c r="C35" s="697" t="s">
        <v>1575</v>
      </c>
      <c r="D35" s="697" t="s">
        <v>1576</v>
      </c>
      <c r="E35" s="697" t="s">
        <v>1577</v>
      </c>
      <c r="F35" s="701"/>
      <c r="G35" s="701"/>
      <c r="H35" s="723">
        <v>0</v>
      </c>
      <c r="I35" s="701">
        <v>1</v>
      </c>
      <c r="J35" s="701">
        <v>21.210000000000004</v>
      </c>
      <c r="K35" s="723">
        <v>1</v>
      </c>
      <c r="L35" s="701">
        <v>1</v>
      </c>
      <c r="M35" s="702">
        <v>21.210000000000004</v>
      </c>
    </row>
    <row r="36" spans="1:13" ht="14.4" customHeight="1" x14ac:dyDescent="0.3">
      <c r="A36" s="696" t="s">
        <v>519</v>
      </c>
      <c r="B36" s="697" t="s">
        <v>1574</v>
      </c>
      <c r="C36" s="697" t="s">
        <v>1578</v>
      </c>
      <c r="D36" s="697" t="s">
        <v>1576</v>
      </c>
      <c r="E36" s="697" t="s">
        <v>1579</v>
      </c>
      <c r="F36" s="701"/>
      <c r="G36" s="701"/>
      <c r="H36" s="723">
        <v>0</v>
      </c>
      <c r="I36" s="701">
        <v>3</v>
      </c>
      <c r="J36" s="701">
        <v>26.009999999999994</v>
      </c>
      <c r="K36" s="723">
        <v>1</v>
      </c>
      <c r="L36" s="701">
        <v>3</v>
      </c>
      <c r="M36" s="702">
        <v>26.009999999999994</v>
      </c>
    </row>
    <row r="37" spans="1:13" ht="14.4" customHeight="1" x14ac:dyDescent="0.3">
      <c r="A37" s="696" t="s">
        <v>519</v>
      </c>
      <c r="B37" s="697" t="s">
        <v>1574</v>
      </c>
      <c r="C37" s="697" t="s">
        <v>1580</v>
      </c>
      <c r="D37" s="697" t="s">
        <v>1576</v>
      </c>
      <c r="E37" s="697" t="s">
        <v>1581</v>
      </c>
      <c r="F37" s="701"/>
      <c r="G37" s="701"/>
      <c r="H37" s="723">
        <v>0</v>
      </c>
      <c r="I37" s="701">
        <v>1</v>
      </c>
      <c r="J37" s="701">
        <v>15</v>
      </c>
      <c r="K37" s="723">
        <v>1</v>
      </c>
      <c r="L37" s="701">
        <v>1</v>
      </c>
      <c r="M37" s="702">
        <v>15</v>
      </c>
    </row>
    <row r="38" spans="1:13" ht="14.4" customHeight="1" x14ac:dyDescent="0.3">
      <c r="A38" s="696" t="s">
        <v>519</v>
      </c>
      <c r="B38" s="697" t="s">
        <v>1582</v>
      </c>
      <c r="C38" s="697" t="s">
        <v>1583</v>
      </c>
      <c r="D38" s="697" t="s">
        <v>1071</v>
      </c>
      <c r="E38" s="697" t="s">
        <v>1569</v>
      </c>
      <c r="F38" s="701"/>
      <c r="G38" s="701"/>
      <c r="H38" s="723">
        <v>0</v>
      </c>
      <c r="I38" s="701">
        <v>1</v>
      </c>
      <c r="J38" s="701">
        <v>86.080000000000055</v>
      </c>
      <c r="K38" s="723">
        <v>1</v>
      </c>
      <c r="L38" s="701">
        <v>1</v>
      </c>
      <c r="M38" s="702">
        <v>86.080000000000055</v>
      </c>
    </row>
    <row r="39" spans="1:13" ht="14.4" customHeight="1" x14ac:dyDescent="0.3">
      <c r="A39" s="696" t="s">
        <v>519</v>
      </c>
      <c r="B39" s="697" t="s">
        <v>1582</v>
      </c>
      <c r="C39" s="697" t="s">
        <v>1584</v>
      </c>
      <c r="D39" s="697" t="s">
        <v>1072</v>
      </c>
      <c r="E39" s="697" t="s">
        <v>653</v>
      </c>
      <c r="F39" s="701"/>
      <c r="G39" s="701"/>
      <c r="H39" s="723">
        <v>0</v>
      </c>
      <c r="I39" s="701">
        <v>3</v>
      </c>
      <c r="J39" s="701">
        <v>488.36999999999989</v>
      </c>
      <c r="K39" s="723">
        <v>1</v>
      </c>
      <c r="L39" s="701">
        <v>3</v>
      </c>
      <c r="M39" s="702">
        <v>488.36999999999989</v>
      </c>
    </row>
    <row r="40" spans="1:13" ht="14.4" customHeight="1" x14ac:dyDescent="0.3">
      <c r="A40" s="696" t="s">
        <v>519</v>
      </c>
      <c r="B40" s="697" t="s">
        <v>1582</v>
      </c>
      <c r="C40" s="697" t="s">
        <v>1585</v>
      </c>
      <c r="D40" s="697" t="s">
        <v>1072</v>
      </c>
      <c r="E40" s="697" t="s">
        <v>1586</v>
      </c>
      <c r="F40" s="701"/>
      <c r="G40" s="701"/>
      <c r="H40" s="723">
        <v>0</v>
      </c>
      <c r="I40" s="701">
        <v>1</v>
      </c>
      <c r="J40" s="701">
        <v>368.25</v>
      </c>
      <c r="K40" s="723">
        <v>1</v>
      </c>
      <c r="L40" s="701">
        <v>1</v>
      </c>
      <c r="M40" s="702">
        <v>368.25</v>
      </c>
    </row>
    <row r="41" spans="1:13" ht="14.4" customHeight="1" x14ac:dyDescent="0.3">
      <c r="A41" s="696" t="s">
        <v>519</v>
      </c>
      <c r="B41" s="697" t="s">
        <v>1587</v>
      </c>
      <c r="C41" s="697" t="s">
        <v>1588</v>
      </c>
      <c r="D41" s="697" t="s">
        <v>1589</v>
      </c>
      <c r="E41" s="697" t="s">
        <v>1590</v>
      </c>
      <c r="F41" s="701"/>
      <c r="G41" s="701"/>
      <c r="H41" s="723">
        <v>0</v>
      </c>
      <c r="I41" s="701">
        <v>2</v>
      </c>
      <c r="J41" s="701">
        <v>402.41999999999996</v>
      </c>
      <c r="K41" s="723">
        <v>1</v>
      </c>
      <c r="L41" s="701">
        <v>2</v>
      </c>
      <c r="M41" s="702">
        <v>402.41999999999996</v>
      </c>
    </row>
    <row r="42" spans="1:13" ht="14.4" customHeight="1" x14ac:dyDescent="0.3">
      <c r="A42" s="696" t="s">
        <v>519</v>
      </c>
      <c r="B42" s="697" t="s">
        <v>1587</v>
      </c>
      <c r="C42" s="697" t="s">
        <v>1591</v>
      </c>
      <c r="D42" s="697" t="s">
        <v>1589</v>
      </c>
      <c r="E42" s="697" t="s">
        <v>1592</v>
      </c>
      <c r="F42" s="701"/>
      <c r="G42" s="701"/>
      <c r="H42" s="723">
        <v>0</v>
      </c>
      <c r="I42" s="701">
        <v>1</v>
      </c>
      <c r="J42" s="701">
        <v>11.839999999999996</v>
      </c>
      <c r="K42" s="723">
        <v>1</v>
      </c>
      <c r="L42" s="701">
        <v>1</v>
      </c>
      <c r="M42" s="702">
        <v>11.839999999999996</v>
      </c>
    </row>
    <row r="43" spans="1:13" ht="14.4" customHeight="1" x14ac:dyDescent="0.3">
      <c r="A43" s="696" t="s">
        <v>519</v>
      </c>
      <c r="B43" s="697" t="s">
        <v>1593</v>
      </c>
      <c r="C43" s="697" t="s">
        <v>1594</v>
      </c>
      <c r="D43" s="697" t="s">
        <v>1595</v>
      </c>
      <c r="E43" s="697" t="s">
        <v>1596</v>
      </c>
      <c r="F43" s="701"/>
      <c r="G43" s="701"/>
      <c r="H43" s="723">
        <v>0</v>
      </c>
      <c r="I43" s="701">
        <v>2</v>
      </c>
      <c r="J43" s="701">
        <v>774.26</v>
      </c>
      <c r="K43" s="723">
        <v>1</v>
      </c>
      <c r="L43" s="701">
        <v>2</v>
      </c>
      <c r="M43" s="702">
        <v>774.26</v>
      </c>
    </row>
    <row r="44" spans="1:13" ht="14.4" customHeight="1" x14ac:dyDescent="0.3">
      <c r="A44" s="696" t="s">
        <v>519</v>
      </c>
      <c r="B44" s="697" t="s">
        <v>1593</v>
      </c>
      <c r="C44" s="697" t="s">
        <v>1597</v>
      </c>
      <c r="D44" s="697" t="s">
        <v>1598</v>
      </c>
      <c r="E44" s="697" t="s">
        <v>1599</v>
      </c>
      <c r="F44" s="701"/>
      <c r="G44" s="701"/>
      <c r="H44" s="723">
        <v>0</v>
      </c>
      <c r="I44" s="701">
        <v>1</v>
      </c>
      <c r="J44" s="701">
        <v>100.02000000000002</v>
      </c>
      <c r="K44" s="723">
        <v>1</v>
      </c>
      <c r="L44" s="701">
        <v>1</v>
      </c>
      <c r="M44" s="702">
        <v>100.02000000000002</v>
      </c>
    </row>
    <row r="45" spans="1:13" ht="14.4" customHeight="1" x14ac:dyDescent="0.3">
      <c r="A45" s="696" t="s">
        <v>519</v>
      </c>
      <c r="B45" s="697" t="s">
        <v>1600</v>
      </c>
      <c r="C45" s="697" t="s">
        <v>1601</v>
      </c>
      <c r="D45" s="697" t="s">
        <v>1602</v>
      </c>
      <c r="E45" s="697" t="s">
        <v>1603</v>
      </c>
      <c r="F45" s="701"/>
      <c r="G45" s="701"/>
      <c r="H45" s="723">
        <v>0</v>
      </c>
      <c r="I45" s="701">
        <v>1</v>
      </c>
      <c r="J45" s="701">
        <v>140.72</v>
      </c>
      <c r="K45" s="723">
        <v>1</v>
      </c>
      <c r="L45" s="701">
        <v>1</v>
      </c>
      <c r="M45" s="702">
        <v>140.72</v>
      </c>
    </row>
    <row r="46" spans="1:13" ht="14.4" customHeight="1" x14ac:dyDescent="0.3">
      <c r="A46" s="696" t="s">
        <v>519</v>
      </c>
      <c r="B46" s="697" t="s">
        <v>1600</v>
      </c>
      <c r="C46" s="697" t="s">
        <v>1604</v>
      </c>
      <c r="D46" s="697" t="s">
        <v>1602</v>
      </c>
      <c r="E46" s="697" t="s">
        <v>1605</v>
      </c>
      <c r="F46" s="701"/>
      <c r="G46" s="701"/>
      <c r="H46" s="723">
        <v>0</v>
      </c>
      <c r="I46" s="701">
        <v>1</v>
      </c>
      <c r="J46" s="701">
        <v>195.81</v>
      </c>
      <c r="K46" s="723">
        <v>1</v>
      </c>
      <c r="L46" s="701">
        <v>1</v>
      </c>
      <c r="M46" s="702">
        <v>195.81</v>
      </c>
    </row>
    <row r="47" spans="1:13" ht="14.4" customHeight="1" x14ac:dyDescent="0.3">
      <c r="A47" s="696" t="s">
        <v>519</v>
      </c>
      <c r="B47" s="697" t="s">
        <v>1606</v>
      </c>
      <c r="C47" s="697" t="s">
        <v>1607</v>
      </c>
      <c r="D47" s="697" t="s">
        <v>1608</v>
      </c>
      <c r="E47" s="697" t="s">
        <v>1609</v>
      </c>
      <c r="F47" s="701"/>
      <c r="G47" s="701"/>
      <c r="H47" s="723">
        <v>0</v>
      </c>
      <c r="I47" s="701">
        <v>1</v>
      </c>
      <c r="J47" s="701">
        <v>76.47</v>
      </c>
      <c r="K47" s="723">
        <v>1</v>
      </c>
      <c r="L47" s="701">
        <v>1</v>
      </c>
      <c r="M47" s="702">
        <v>76.47</v>
      </c>
    </row>
    <row r="48" spans="1:13" ht="14.4" customHeight="1" x14ac:dyDescent="0.3">
      <c r="A48" s="696" t="s">
        <v>519</v>
      </c>
      <c r="B48" s="697" t="s">
        <v>1610</v>
      </c>
      <c r="C48" s="697" t="s">
        <v>1611</v>
      </c>
      <c r="D48" s="697" t="s">
        <v>1612</v>
      </c>
      <c r="E48" s="697" t="s">
        <v>1613</v>
      </c>
      <c r="F48" s="701"/>
      <c r="G48" s="701"/>
      <c r="H48" s="723">
        <v>0</v>
      </c>
      <c r="I48" s="701">
        <v>1</v>
      </c>
      <c r="J48" s="701">
        <v>69.37</v>
      </c>
      <c r="K48" s="723">
        <v>1</v>
      </c>
      <c r="L48" s="701">
        <v>1</v>
      </c>
      <c r="M48" s="702">
        <v>69.37</v>
      </c>
    </row>
    <row r="49" spans="1:13" ht="14.4" customHeight="1" x14ac:dyDescent="0.3">
      <c r="A49" s="696" t="s">
        <v>519</v>
      </c>
      <c r="B49" s="697" t="s">
        <v>1614</v>
      </c>
      <c r="C49" s="697" t="s">
        <v>1615</v>
      </c>
      <c r="D49" s="697" t="s">
        <v>1616</v>
      </c>
      <c r="E49" s="697" t="s">
        <v>1617</v>
      </c>
      <c r="F49" s="701"/>
      <c r="G49" s="701"/>
      <c r="H49" s="723">
        <v>0</v>
      </c>
      <c r="I49" s="701">
        <v>215</v>
      </c>
      <c r="J49" s="701">
        <v>295625</v>
      </c>
      <c r="K49" s="723">
        <v>1</v>
      </c>
      <c r="L49" s="701">
        <v>215</v>
      </c>
      <c r="M49" s="702">
        <v>295625</v>
      </c>
    </row>
    <row r="50" spans="1:13" ht="14.4" customHeight="1" x14ac:dyDescent="0.3">
      <c r="A50" s="696" t="s">
        <v>519</v>
      </c>
      <c r="B50" s="697" t="s">
        <v>1618</v>
      </c>
      <c r="C50" s="697" t="s">
        <v>1619</v>
      </c>
      <c r="D50" s="697" t="s">
        <v>1108</v>
      </c>
      <c r="E50" s="697" t="s">
        <v>1620</v>
      </c>
      <c r="F50" s="701"/>
      <c r="G50" s="701"/>
      <c r="H50" s="723">
        <v>0</v>
      </c>
      <c r="I50" s="701">
        <v>26</v>
      </c>
      <c r="J50" s="701">
        <v>2233.1799999999998</v>
      </c>
      <c r="K50" s="723">
        <v>1</v>
      </c>
      <c r="L50" s="701">
        <v>26</v>
      </c>
      <c r="M50" s="702">
        <v>2233.1799999999998</v>
      </c>
    </row>
    <row r="51" spans="1:13" ht="14.4" customHeight="1" x14ac:dyDescent="0.3">
      <c r="A51" s="696" t="s">
        <v>519</v>
      </c>
      <c r="B51" s="697" t="s">
        <v>1621</v>
      </c>
      <c r="C51" s="697" t="s">
        <v>1622</v>
      </c>
      <c r="D51" s="697" t="s">
        <v>1623</v>
      </c>
      <c r="E51" s="697" t="s">
        <v>1624</v>
      </c>
      <c r="F51" s="701">
        <v>829</v>
      </c>
      <c r="G51" s="701">
        <v>30080.59</v>
      </c>
      <c r="H51" s="723">
        <v>1</v>
      </c>
      <c r="I51" s="701"/>
      <c r="J51" s="701"/>
      <c r="K51" s="723">
        <v>0</v>
      </c>
      <c r="L51" s="701">
        <v>829</v>
      </c>
      <c r="M51" s="702">
        <v>30080.59</v>
      </c>
    </row>
    <row r="52" spans="1:13" ht="14.4" customHeight="1" x14ac:dyDescent="0.3">
      <c r="A52" s="696" t="s">
        <v>519</v>
      </c>
      <c r="B52" s="697" t="s">
        <v>1621</v>
      </c>
      <c r="C52" s="697" t="s">
        <v>1625</v>
      </c>
      <c r="D52" s="697" t="s">
        <v>1626</v>
      </c>
      <c r="E52" s="697" t="s">
        <v>1627</v>
      </c>
      <c r="F52" s="701"/>
      <c r="G52" s="701"/>
      <c r="H52" s="723">
        <v>0</v>
      </c>
      <c r="I52" s="701">
        <v>5</v>
      </c>
      <c r="J52" s="701">
        <v>1571.35</v>
      </c>
      <c r="K52" s="723">
        <v>1</v>
      </c>
      <c r="L52" s="701">
        <v>5</v>
      </c>
      <c r="M52" s="702">
        <v>1571.35</v>
      </c>
    </row>
    <row r="53" spans="1:13" ht="14.4" customHeight="1" x14ac:dyDescent="0.3">
      <c r="A53" s="696" t="s">
        <v>519</v>
      </c>
      <c r="B53" s="697" t="s">
        <v>1628</v>
      </c>
      <c r="C53" s="697" t="s">
        <v>1629</v>
      </c>
      <c r="D53" s="697" t="s">
        <v>1630</v>
      </c>
      <c r="E53" s="697" t="s">
        <v>1631</v>
      </c>
      <c r="F53" s="701"/>
      <c r="G53" s="701"/>
      <c r="H53" s="723">
        <v>0</v>
      </c>
      <c r="I53" s="701">
        <v>2</v>
      </c>
      <c r="J53" s="701">
        <v>224.53999999999996</v>
      </c>
      <c r="K53" s="723">
        <v>1</v>
      </c>
      <c r="L53" s="701">
        <v>2</v>
      </c>
      <c r="M53" s="702">
        <v>224.53999999999996</v>
      </c>
    </row>
    <row r="54" spans="1:13" ht="14.4" customHeight="1" x14ac:dyDescent="0.3">
      <c r="A54" s="696" t="s">
        <v>519</v>
      </c>
      <c r="B54" s="697" t="s">
        <v>1628</v>
      </c>
      <c r="C54" s="697" t="s">
        <v>1632</v>
      </c>
      <c r="D54" s="697" t="s">
        <v>1630</v>
      </c>
      <c r="E54" s="697" t="s">
        <v>1633</v>
      </c>
      <c r="F54" s="701"/>
      <c r="G54" s="701"/>
      <c r="H54" s="723">
        <v>0</v>
      </c>
      <c r="I54" s="701">
        <v>2</v>
      </c>
      <c r="J54" s="701">
        <v>196.24</v>
      </c>
      <c r="K54" s="723">
        <v>1</v>
      </c>
      <c r="L54" s="701">
        <v>2</v>
      </c>
      <c r="M54" s="702">
        <v>196.24</v>
      </c>
    </row>
    <row r="55" spans="1:13" ht="14.4" customHeight="1" x14ac:dyDescent="0.3">
      <c r="A55" s="696" t="s">
        <v>519</v>
      </c>
      <c r="B55" s="697" t="s">
        <v>1628</v>
      </c>
      <c r="C55" s="697" t="s">
        <v>1634</v>
      </c>
      <c r="D55" s="697" t="s">
        <v>1630</v>
      </c>
      <c r="E55" s="697" t="s">
        <v>1635</v>
      </c>
      <c r="F55" s="701"/>
      <c r="G55" s="701"/>
      <c r="H55" s="723">
        <v>0</v>
      </c>
      <c r="I55" s="701">
        <v>1</v>
      </c>
      <c r="J55" s="701">
        <v>92.77000000000001</v>
      </c>
      <c r="K55" s="723">
        <v>1</v>
      </c>
      <c r="L55" s="701">
        <v>1</v>
      </c>
      <c r="M55" s="702">
        <v>92.77000000000001</v>
      </c>
    </row>
    <row r="56" spans="1:13" ht="14.4" customHeight="1" x14ac:dyDescent="0.3">
      <c r="A56" s="696" t="s">
        <v>519</v>
      </c>
      <c r="B56" s="697" t="s">
        <v>1628</v>
      </c>
      <c r="C56" s="697" t="s">
        <v>1636</v>
      </c>
      <c r="D56" s="697" t="s">
        <v>1630</v>
      </c>
      <c r="E56" s="697" t="s">
        <v>1637</v>
      </c>
      <c r="F56" s="701"/>
      <c r="G56" s="701"/>
      <c r="H56" s="723">
        <v>0</v>
      </c>
      <c r="I56" s="701">
        <v>4</v>
      </c>
      <c r="J56" s="701">
        <v>197.52</v>
      </c>
      <c r="K56" s="723">
        <v>1</v>
      </c>
      <c r="L56" s="701">
        <v>4</v>
      </c>
      <c r="M56" s="702">
        <v>197.52</v>
      </c>
    </row>
    <row r="57" spans="1:13" ht="14.4" customHeight="1" x14ac:dyDescent="0.3">
      <c r="A57" s="696" t="s">
        <v>519</v>
      </c>
      <c r="B57" s="697" t="s">
        <v>1628</v>
      </c>
      <c r="C57" s="697" t="s">
        <v>1638</v>
      </c>
      <c r="D57" s="697" t="s">
        <v>1630</v>
      </c>
      <c r="E57" s="697" t="s">
        <v>1639</v>
      </c>
      <c r="F57" s="701"/>
      <c r="G57" s="701"/>
      <c r="H57" s="723">
        <v>0</v>
      </c>
      <c r="I57" s="701">
        <v>8</v>
      </c>
      <c r="J57" s="701">
        <v>501.36000000000007</v>
      </c>
      <c r="K57" s="723">
        <v>1</v>
      </c>
      <c r="L57" s="701">
        <v>8</v>
      </c>
      <c r="M57" s="702">
        <v>501.36000000000007</v>
      </c>
    </row>
    <row r="58" spans="1:13" ht="14.4" customHeight="1" x14ac:dyDescent="0.3">
      <c r="A58" s="696" t="s">
        <v>519</v>
      </c>
      <c r="B58" s="697" t="s">
        <v>1640</v>
      </c>
      <c r="C58" s="697" t="s">
        <v>1641</v>
      </c>
      <c r="D58" s="697" t="s">
        <v>1642</v>
      </c>
      <c r="E58" s="697" t="s">
        <v>1643</v>
      </c>
      <c r="F58" s="701"/>
      <c r="G58" s="701"/>
      <c r="H58" s="723">
        <v>0</v>
      </c>
      <c r="I58" s="701">
        <v>85.2</v>
      </c>
      <c r="J58" s="701">
        <v>873647.67599999998</v>
      </c>
      <c r="K58" s="723">
        <v>1</v>
      </c>
      <c r="L58" s="701">
        <v>85.2</v>
      </c>
      <c r="M58" s="702">
        <v>873647.67599999998</v>
      </c>
    </row>
    <row r="59" spans="1:13" ht="14.4" customHeight="1" x14ac:dyDescent="0.3">
      <c r="A59" s="696" t="s">
        <v>519</v>
      </c>
      <c r="B59" s="697" t="s">
        <v>1644</v>
      </c>
      <c r="C59" s="697" t="s">
        <v>1645</v>
      </c>
      <c r="D59" s="697" t="s">
        <v>1646</v>
      </c>
      <c r="E59" s="697" t="s">
        <v>1647</v>
      </c>
      <c r="F59" s="701"/>
      <c r="G59" s="701"/>
      <c r="H59" s="723">
        <v>0</v>
      </c>
      <c r="I59" s="701">
        <v>1</v>
      </c>
      <c r="J59" s="701">
        <v>114.92000000000003</v>
      </c>
      <c r="K59" s="723">
        <v>1</v>
      </c>
      <c r="L59" s="701">
        <v>1</v>
      </c>
      <c r="M59" s="702">
        <v>114.92000000000003</v>
      </c>
    </row>
    <row r="60" spans="1:13" ht="14.4" customHeight="1" x14ac:dyDescent="0.3">
      <c r="A60" s="696" t="s">
        <v>519</v>
      </c>
      <c r="B60" s="697" t="s">
        <v>1648</v>
      </c>
      <c r="C60" s="697" t="s">
        <v>1649</v>
      </c>
      <c r="D60" s="697" t="s">
        <v>1650</v>
      </c>
      <c r="E60" s="697" t="s">
        <v>1651</v>
      </c>
      <c r="F60" s="701"/>
      <c r="G60" s="701"/>
      <c r="H60" s="723">
        <v>0</v>
      </c>
      <c r="I60" s="701">
        <v>150.19999999999999</v>
      </c>
      <c r="J60" s="701">
        <v>68896.740000000005</v>
      </c>
      <c r="K60" s="723">
        <v>1</v>
      </c>
      <c r="L60" s="701">
        <v>150.19999999999999</v>
      </c>
      <c r="M60" s="702">
        <v>68896.740000000005</v>
      </c>
    </row>
    <row r="61" spans="1:13" ht="14.4" customHeight="1" x14ac:dyDescent="0.3">
      <c r="A61" s="696" t="s">
        <v>519</v>
      </c>
      <c r="B61" s="697" t="s">
        <v>1648</v>
      </c>
      <c r="C61" s="697" t="s">
        <v>1652</v>
      </c>
      <c r="D61" s="697" t="s">
        <v>1379</v>
      </c>
      <c r="E61" s="697" t="s">
        <v>1653</v>
      </c>
      <c r="F61" s="701">
        <v>636</v>
      </c>
      <c r="G61" s="701">
        <v>102127.72000000002</v>
      </c>
      <c r="H61" s="723">
        <v>1</v>
      </c>
      <c r="I61" s="701"/>
      <c r="J61" s="701"/>
      <c r="K61" s="723">
        <v>0</v>
      </c>
      <c r="L61" s="701">
        <v>636</v>
      </c>
      <c r="M61" s="702">
        <v>102127.72000000002</v>
      </c>
    </row>
    <row r="62" spans="1:13" ht="14.4" customHeight="1" x14ac:dyDescent="0.3">
      <c r="A62" s="696" t="s">
        <v>519</v>
      </c>
      <c r="B62" s="697" t="s">
        <v>1654</v>
      </c>
      <c r="C62" s="697" t="s">
        <v>1655</v>
      </c>
      <c r="D62" s="697" t="s">
        <v>1656</v>
      </c>
      <c r="E62" s="697" t="s">
        <v>1657</v>
      </c>
      <c r="F62" s="701">
        <v>142</v>
      </c>
      <c r="G62" s="701">
        <v>3778.6200000000003</v>
      </c>
      <c r="H62" s="723">
        <v>1</v>
      </c>
      <c r="I62" s="701"/>
      <c r="J62" s="701"/>
      <c r="K62" s="723">
        <v>0</v>
      </c>
      <c r="L62" s="701">
        <v>142</v>
      </c>
      <c r="M62" s="702">
        <v>3778.6200000000003</v>
      </c>
    </row>
    <row r="63" spans="1:13" ht="14.4" customHeight="1" x14ac:dyDescent="0.3">
      <c r="A63" s="696" t="s">
        <v>519</v>
      </c>
      <c r="B63" s="697" t="s">
        <v>1658</v>
      </c>
      <c r="C63" s="697" t="s">
        <v>1659</v>
      </c>
      <c r="D63" s="697" t="s">
        <v>1660</v>
      </c>
      <c r="E63" s="697" t="s">
        <v>1661</v>
      </c>
      <c r="F63" s="701">
        <v>1</v>
      </c>
      <c r="G63" s="701">
        <v>1116.5</v>
      </c>
      <c r="H63" s="723">
        <v>1</v>
      </c>
      <c r="I63" s="701"/>
      <c r="J63" s="701"/>
      <c r="K63" s="723">
        <v>0</v>
      </c>
      <c r="L63" s="701">
        <v>1</v>
      </c>
      <c r="M63" s="702">
        <v>1116.5</v>
      </c>
    </row>
    <row r="64" spans="1:13" ht="14.4" customHeight="1" x14ac:dyDescent="0.3">
      <c r="A64" s="696" t="s">
        <v>519</v>
      </c>
      <c r="B64" s="697" t="s">
        <v>1658</v>
      </c>
      <c r="C64" s="697" t="s">
        <v>1662</v>
      </c>
      <c r="D64" s="697" t="s">
        <v>1663</v>
      </c>
      <c r="E64" s="697" t="s">
        <v>1661</v>
      </c>
      <c r="F64" s="701"/>
      <c r="G64" s="701"/>
      <c r="H64" s="723">
        <v>0</v>
      </c>
      <c r="I64" s="701">
        <v>163.5</v>
      </c>
      <c r="J64" s="701">
        <v>150174.75</v>
      </c>
      <c r="K64" s="723">
        <v>1</v>
      </c>
      <c r="L64" s="701">
        <v>163.5</v>
      </c>
      <c r="M64" s="702">
        <v>150174.75</v>
      </c>
    </row>
    <row r="65" spans="1:13" ht="14.4" customHeight="1" x14ac:dyDescent="0.3">
      <c r="A65" s="696" t="s">
        <v>519</v>
      </c>
      <c r="B65" s="697" t="s">
        <v>1664</v>
      </c>
      <c r="C65" s="697" t="s">
        <v>1665</v>
      </c>
      <c r="D65" s="697" t="s">
        <v>1666</v>
      </c>
      <c r="E65" s="697" t="s">
        <v>1667</v>
      </c>
      <c r="F65" s="701"/>
      <c r="G65" s="701"/>
      <c r="H65" s="723">
        <v>0</v>
      </c>
      <c r="I65" s="701">
        <v>16.20000000000001</v>
      </c>
      <c r="J65" s="701">
        <v>2494.8000000000011</v>
      </c>
      <c r="K65" s="723">
        <v>1</v>
      </c>
      <c r="L65" s="701">
        <v>16.20000000000001</v>
      </c>
      <c r="M65" s="702">
        <v>2494.8000000000011</v>
      </c>
    </row>
    <row r="66" spans="1:13" ht="14.4" customHeight="1" x14ac:dyDescent="0.3">
      <c r="A66" s="696" t="s">
        <v>519</v>
      </c>
      <c r="B66" s="697" t="s">
        <v>1664</v>
      </c>
      <c r="C66" s="697" t="s">
        <v>1668</v>
      </c>
      <c r="D66" s="697" t="s">
        <v>1666</v>
      </c>
      <c r="E66" s="697" t="s">
        <v>1669</v>
      </c>
      <c r="F66" s="701"/>
      <c r="G66" s="701"/>
      <c r="H66" s="723">
        <v>0</v>
      </c>
      <c r="I66" s="701">
        <v>35</v>
      </c>
      <c r="J66" s="701">
        <v>9201.4999999999982</v>
      </c>
      <c r="K66" s="723">
        <v>1</v>
      </c>
      <c r="L66" s="701">
        <v>35</v>
      </c>
      <c r="M66" s="702">
        <v>9201.4999999999982</v>
      </c>
    </row>
    <row r="67" spans="1:13" ht="14.4" customHeight="1" x14ac:dyDescent="0.3">
      <c r="A67" s="696" t="s">
        <v>519</v>
      </c>
      <c r="B67" s="697" t="s">
        <v>1670</v>
      </c>
      <c r="C67" s="697" t="s">
        <v>1671</v>
      </c>
      <c r="D67" s="697" t="s">
        <v>1672</v>
      </c>
      <c r="E67" s="697" t="s">
        <v>1673</v>
      </c>
      <c r="F67" s="701">
        <v>3.1</v>
      </c>
      <c r="G67" s="701">
        <v>2285.0769999999998</v>
      </c>
      <c r="H67" s="723">
        <v>1</v>
      </c>
      <c r="I67" s="701"/>
      <c r="J67" s="701"/>
      <c r="K67" s="723">
        <v>0</v>
      </c>
      <c r="L67" s="701">
        <v>3.1</v>
      </c>
      <c r="M67" s="702">
        <v>2285.0769999999998</v>
      </c>
    </row>
    <row r="68" spans="1:13" ht="14.4" customHeight="1" x14ac:dyDescent="0.3">
      <c r="A68" s="696" t="s">
        <v>519</v>
      </c>
      <c r="B68" s="697" t="s">
        <v>1670</v>
      </c>
      <c r="C68" s="697" t="s">
        <v>1674</v>
      </c>
      <c r="D68" s="697" t="s">
        <v>1675</v>
      </c>
      <c r="E68" s="697" t="s">
        <v>1676</v>
      </c>
      <c r="F68" s="701"/>
      <c r="G68" s="701"/>
      <c r="H68" s="723">
        <v>0</v>
      </c>
      <c r="I68" s="701">
        <v>24.9</v>
      </c>
      <c r="J68" s="701">
        <v>15164.447</v>
      </c>
      <c r="K68" s="723">
        <v>1</v>
      </c>
      <c r="L68" s="701">
        <v>24.9</v>
      </c>
      <c r="M68" s="702">
        <v>15164.447</v>
      </c>
    </row>
    <row r="69" spans="1:13" ht="14.4" customHeight="1" x14ac:dyDescent="0.3">
      <c r="A69" s="696" t="s">
        <v>519</v>
      </c>
      <c r="B69" s="697" t="s">
        <v>1677</v>
      </c>
      <c r="C69" s="697" t="s">
        <v>1678</v>
      </c>
      <c r="D69" s="697" t="s">
        <v>1310</v>
      </c>
      <c r="E69" s="697" t="s">
        <v>1679</v>
      </c>
      <c r="F69" s="701"/>
      <c r="G69" s="701"/>
      <c r="H69" s="723">
        <v>0</v>
      </c>
      <c r="I69" s="701">
        <v>13</v>
      </c>
      <c r="J69" s="701">
        <v>4167.9100000000008</v>
      </c>
      <c r="K69" s="723">
        <v>1</v>
      </c>
      <c r="L69" s="701">
        <v>13</v>
      </c>
      <c r="M69" s="702">
        <v>4167.9100000000008</v>
      </c>
    </row>
    <row r="70" spans="1:13" ht="14.4" customHeight="1" x14ac:dyDescent="0.3">
      <c r="A70" s="696" t="s">
        <v>519</v>
      </c>
      <c r="B70" s="697" t="s">
        <v>1680</v>
      </c>
      <c r="C70" s="697" t="s">
        <v>1681</v>
      </c>
      <c r="D70" s="697" t="s">
        <v>1682</v>
      </c>
      <c r="E70" s="697" t="s">
        <v>1683</v>
      </c>
      <c r="F70" s="701"/>
      <c r="G70" s="701"/>
      <c r="H70" s="723">
        <v>0</v>
      </c>
      <c r="I70" s="701">
        <v>40</v>
      </c>
      <c r="J70" s="701">
        <v>1335.6</v>
      </c>
      <c r="K70" s="723">
        <v>1</v>
      </c>
      <c r="L70" s="701">
        <v>40</v>
      </c>
      <c r="M70" s="702">
        <v>1335.6</v>
      </c>
    </row>
    <row r="71" spans="1:13" ht="14.4" customHeight="1" x14ac:dyDescent="0.3">
      <c r="A71" s="696" t="s">
        <v>519</v>
      </c>
      <c r="B71" s="697" t="s">
        <v>1680</v>
      </c>
      <c r="C71" s="697" t="s">
        <v>1684</v>
      </c>
      <c r="D71" s="697" t="s">
        <v>1682</v>
      </c>
      <c r="E71" s="697" t="s">
        <v>1685</v>
      </c>
      <c r="F71" s="701"/>
      <c r="G71" s="701"/>
      <c r="H71" s="723">
        <v>0</v>
      </c>
      <c r="I71" s="701">
        <v>272</v>
      </c>
      <c r="J71" s="701">
        <v>14383.36</v>
      </c>
      <c r="K71" s="723">
        <v>1</v>
      </c>
      <c r="L71" s="701">
        <v>272</v>
      </c>
      <c r="M71" s="702">
        <v>14383.36</v>
      </c>
    </row>
    <row r="72" spans="1:13" ht="14.4" customHeight="1" x14ac:dyDescent="0.3">
      <c r="A72" s="696" t="s">
        <v>519</v>
      </c>
      <c r="B72" s="697" t="s">
        <v>1686</v>
      </c>
      <c r="C72" s="697" t="s">
        <v>1687</v>
      </c>
      <c r="D72" s="697" t="s">
        <v>1688</v>
      </c>
      <c r="E72" s="697" t="s">
        <v>1673</v>
      </c>
      <c r="F72" s="701"/>
      <c r="G72" s="701"/>
      <c r="H72" s="723">
        <v>0</v>
      </c>
      <c r="I72" s="701">
        <v>237.7</v>
      </c>
      <c r="J72" s="701">
        <v>90618.333870486938</v>
      </c>
      <c r="K72" s="723">
        <v>1</v>
      </c>
      <c r="L72" s="701">
        <v>237.7</v>
      </c>
      <c r="M72" s="702">
        <v>90618.333870486938</v>
      </c>
    </row>
    <row r="73" spans="1:13" ht="14.4" customHeight="1" x14ac:dyDescent="0.3">
      <c r="A73" s="696" t="s">
        <v>519</v>
      </c>
      <c r="B73" s="697" t="s">
        <v>1686</v>
      </c>
      <c r="C73" s="697" t="s">
        <v>1689</v>
      </c>
      <c r="D73" s="697" t="s">
        <v>1690</v>
      </c>
      <c r="E73" s="697" t="s">
        <v>1691</v>
      </c>
      <c r="F73" s="701"/>
      <c r="G73" s="701"/>
      <c r="H73" s="723">
        <v>0</v>
      </c>
      <c r="I73" s="701">
        <v>95</v>
      </c>
      <c r="J73" s="701">
        <v>1801.1999999999998</v>
      </c>
      <c r="K73" s="723">
        <v>1</v>
      </c>
      <c r="L73" s="701">
        <v>95</v>
      </c>
      <c r="M73" s="702">
        <v>1801.1999999999998</v>
      </c>
    </row>
    <row r="74" spans="1:13" ht="14.4" customHeight="1" x14ac:dyDescent="0.3">
      <c r="A74" s="696" t="s">
        <v>519</v>
      </c>
      <c r="B74" s="697" t="s">
        <v>1692</v>
      </c>
      <c r="C74" s="697" t="s">
        <v>1693</v>
      </c>
      <c r="D74" s="697" t="s">
        <v>1362</v>
      </c>
      <c r="E74" s="697" t="s">
        <v>1363</v>
      </c>
      <c r="F74" s="701">
        <v>13</v>
      </c>
      <c r="G74" s="701">
        <v>4669.2099999999991</v>
      </c>
      <c r="H74" s="723">
        <v>1</v>
      </c>
      <c r="I74" s="701"/>
      <c r="J74" s="701"/>
      <c r="K74" s="723">
        <v>0</v>
      </c>
      <c r="L74" s="701">
        <v>13</v>
      </c>
      <c r="M74" s="702">
        <v>4669.2099999999991</v>
      </c>
    </row>
    <row r="75" spans="1:13" ht="14.4" customHeight="1" x14ac:dyDescent="0.3">
      <c r="A75" s="696" t="s">
        <v>519</v>
      </c>
      <c r="B75" s="697" t="s">
        <v>1692</v>
      </c>
      <c r="C75" s="697" t="s">
        <v>1694</v>
      </c>
      <c r="D75" s="697" t="s">
        <v>1695</v>
      </c>
      <c r="E75" s="697" t="s">
        <v>1696</v>
      </c>
      <c r="F75" s="701">
        <v>2.1</v>
      </c>
      <c r="G75" s="701">
        <v>13199.275</v>
      </c>
      <c r="H75" s="723">
        <v>1</v>
      </c>
      <c r="I75" s="701"/>
      <c r="J75" s="701"/>
      <c r="K75" s="723">
        <v>0</v>
      </c>
      <c r="L75" s="701">
        <v>2.1</v>
      </c>
      <c r="M75" s="702">
        <v>13199.275</v>
      </c>
    </row>
    <row r="76" spans="1:13" ht="14.4" customHeight="1" x14ac:dyDescent="0.3">
      <c r="A76" s="696" t="s">
        <v>519</v>
      </c>
      <c r="B76" s="697" t="s">
        <v>1692</v>
      </c>
      <c r="C76" s="697" t="s">
        <v>1697</v>
      </c>
      <c r="D76" s="697" t="s">
        <v>1400</v>
      </c>
      <c r="E76" s="697" t="s">
        <v>1698</v>
      </c>
      <c r="F76" s="701"/>
      <c r="G76" s="701"/>
      <c r="H76" s="723">
        <v>0</v>
      </c>
      <c r="I76" s="701">
        <v>7</v>
      </c>
      <c r="J76" s="701">
        <v>7855.4910000000009</v>
      </c>
      <c r="K76" s="723">
        <v>1</v>
      </c>
      <c r="L76" s="701">
        <v>7</v>
      </c>
      <c r="M76" s="702">
        <v>7855.4910000000009</v>
      </c>
    </row>
    <row r="77" spans="1:13" ht="14.4" customHeight="1" x14ac:dyDescent="0.3">
      <c r="A77" s="696" t="s">
        <v>519</v>
      </c>
      <c r="B77" s="697" t="s">
        <v>1699</v>
      </c>
      <c r="C77" s="697" t="s">
        <v>1700</v>
      </c>
      <c r="D77" s="697" t="s">
        <v>1701</v>
      </c>
      <c r="E77" s="697" t="s">
        <v>1702</v>
      </c>
      <c r="F77" s="701"/>
      <c r="G77" s="701"/>
      <c r="H77" s="723">
        <v>0</v>
      </c>
      <c r="I77" s="701">
        <v>56.9</v>
      </c>
      <c r="J77" s="701">
        <v>8449.65</v>
      </c>
      <c r="K77" s="723">
        <v>1</v>
      </c>
      <c r="L77" s="701">
        <v>56.9</v>
      </c>
      <c r="M77" s="702">
        <v>8449.65</v>
      </c>
    </row>
    <row r="78" spans="1:13" ht="14.4" customHeight="1" x14ac:dyDescent="0.3">
      <c r="A78" s="696" t="s">
        <v>519</v>
      </c>
      <c r="B78" s="697" t="s">
        <v>1699</v>
      </c>
      <c r="C78" s="697" t="s">
        <v>1703</v>
      </c>
      <c r="D78" s="697" t="s">
        <v>1701</v>
      </c>
      <c r="E78" s="697" t="s">
        <v>1704</v>
      </c>
      <c r="F78" s="701"/>
      <c r="G78" s="701"/>
      <c r="H78" s="723">
        <v>0</v>
      </c>
      <c r="I78" s="701">
        <v>46.4</v>
      </c>
      <c r="J78" s="701">
        <v>13678.720000000001</v>
      </c>
      <c r="K78" s="723">
        <v>1</v>
      </c>
      <c r="L78" s="701">
        <v>46.4</v>
      </c>
      <c r="M78" s="702">
        <v>13678.720000000001</v>
      </c>
    </row>
    <row r="79" spans="1:13" ht="14.4" customHeight="1" x14ac:dyDescent="0.3">
      <c r="A79" s="696" t="s">
        <v>519</v>
      </c>
      <c r="B79" s="697" t="s">
        <v>1699</v>
      </c>
      <c r="C79" s="697" t="s">
        <v>1705</v>
      </c>
      <c r="D79" s="697" t="s">
        <v>1706</v>
      </c>
      <c r="E79" s="697" t="s">
        <v>1707</v>
      </c>
      <c r="F79" s="701"/>
      <c r="G79" s="701"/>
      <c r="H79" s="723">
        <v>0</v>
      </c>
      <c r="I79" s="701">
        <v>1</v>
      </c>
      <c r="J79" s="701">
        <v>2113.7500000000005</v>
      </c>
      <c r="K79" s="723">
        <v>1</v>
      </c>
      <c r="L79" s="701">
        <v>1</v>
      </c>
      <c r="M79" s="702">
        <v>2113.7500000000005</v>
      </c>
    </row>
    <row r="80" spans="1:13" ht="14.4" customHeight="1" x14ac:dyDescent="0.3">
      <c r="A80" s="696" t="s">
        <v>519</v>
      </c>
      <c r="B80" s="697" t="s">
        <v>1708</v>
      </c>
      <c r="C80" s="697" t="s">
        <v>1709</v>
      </c>
      <c r="D80" s="697" t="s">
        <v>1418</v>
      </c>
      <c r="E80" s="697" t="s">
        <v>1419</v>
      </c>
      <c r="F80" s="701">
        <v>13</v>
      </c>
      <c r="G80" s="701">
        <v>4307.5200000000004</v>
      </c>
      <c r="H80" s="723">
        <v>1</v>
      </c>
      <c r="I80" s="701"/>
      <c r="J80" s="701"/>
      <c r="K80" s="723">
        <v>0</v>
      </c>
      <c r="L80" s="701">
        <v>13</v>
      </c>
      <c r="M80" s="702">
        <v>4307.5200000000004</v>
      </c>
    </row>
    <row r="81" spans="1:13" ht="14.4" customHeight="1" x14ac:dyDescent="0.3">
      <c r="A81" s="696" t="s">
        <v>519</v>
      </c>
      <c r="B81" s="697" t="s">
        <v>1708</v>
      </c>
      <c r="C81" s="697" t="s">
        <v>1710</v>
      </c>
      <c r="D81" s="697" t="s">
        <v>1416</v>
      </c>
      <c r="E81" s="697" t="s">
        <v>1419</v>
      </c>
      <c r="F81" s="701"/>
      <c r="G81" s="701"/>
      <c r="H81" s="723">
        <v>0</v>
      </c>
      <c r="I81" s="701">
        <v>149</v>
      </c>
      <c r="J81" s="701">
        <v>17553.690000000002</v>
      </c>
      <c r="K81" s="723">
        <v>1</v>
      </c>
      <c r="L81" s="701">
        <v>149</v>
      </c>
      <c r="M81" s="702">
        <v>17553.690000000002</v>
      </c>
    </row>
    <row r="82" spans="1:13" ht="14.4" customHeight="1" x14ac:dyDescent="0.3">
      <c r="A82" s="696" t="s">
        <v>519</v>
      </c>
      <c r="B82" s="697" t="s">
        <v>1711</v>
      </c>
      <c r="C82" s="697" t="s">
        <v>1712</v>
      </c>
      <c r="D82" s="697" t="s">
        <v>1713</v>
      </c>
      <c r="E82" s="697" t="s">
        <v>1714</v>
      </c>
      <c r="F82" s="701"/>
      <c r="G82" s="701"/>
      <c r="H82" s="723">
        <v>0</v>
      </c>
      <c r="I82" s="701">
        <v>65</v>
      </c>
      <c r="J82" s="701">
        <v>107539.9</v>
      </c>
      <c r="K82" s="723">
        <v>1</v>
      </c>
      <c r="L82" s="701">
        <v>65</v>
      </c>
      <c r="M82" s="702">
        <v>107539.9</v>
      </c>
    </row>
    <row r="83" spans="1:13" ht="14.4" customHeight="1" x14ac:dyDescent="0.3">
      <c r="A83" s="696" t="s">
        <v>519</v>
      </c>
      <c r="B83" s="697" t="s">
        <v>1715</v>
      </c>
      <c r="C83" s="697" t="s">
        <v>1716</v>
      </c>
      <c r="D83" s="697" t="s">
        <v>821</v>
      </c>
      <c r="E83" s="697" t="s">
        <v>1717</v>
      </c>
      <c r="F83" s="701">
        <v>1</v>
      </c>
      <c r="G83" s="701">
        <v>590.43999999999994</v>
      </c>
      <c r="H83" s="723">
        <v>1</v>
      </c>
      <c r="I83" s="701"/>
      <c r="J83" s="701"/>
      <c r="K83" s="723">
        <v>0</v>
      </c>
      <c r="L83" s="701">
        <v>1</v>
      </c>
      <c r="M83" s="702">
        <v>590.43999999999994</v>
      </c>
    </row>
    <row r="84" spans="1:13" ht="14.4" customHeight="1" x14ac:dyDescent="0.3">
      <c r="A84" s="696" t="s">
        <v>519</v>
      </c>
      <c r="B84" s="697" t="s">
        <v>1718</v>
      </c>
      <c r="C84" s="697" t="s">
        <v>1719</v>
      </c>
      <c r="D84" s="697" t="s">
        <v>1720</v>
      </c>
      <c r="E84" s="697" t="s">
        <v>1721</v>
      </c>
      <c r="F84" s="701"/>
      <c r="G84" s="701"/>
      <c r="H84" s="723">
        <v>0</v>
      </c>
      <c r="I84" s="701">
        <v>8</v>
      </c>
      <c r="J84" s="701">
        <v>8385.76</v>
      </c>
      <c r="K84" s="723">
        <v>1</v>
      </c>
      <c r="L84" s="701">
        <v>8</v>
      </c>
      <c r="M84" s="702">
        <v>8385.76</v>
      </c>
    </row>
    <row r="85" spans="1:13" ht="14.4" customHeight="1" x14ac:dyDescent="0.3">
      <c r="A85" s="696" t="s">
        <v>519</v>
      </c>
      <c r="B85" s="697" t="s">
        <v>1722</v>
      </c>
      <c r="C85" s="697" t="s">
        <v>1723</v>
      </c>
      <c r="D85" s="697" t="s">
        <v>595</v>
      </c>
      <c r="E85" s="697" t="s">
        <v>557</v>
      </c>
      <c r="F85" s="701"/>
      <c r="G85" s="701"/>
      <c r="H85" s="723">
        <v>0</v>
      </c>
      <c r="I85" s="701">
        <v>4</v>
      </c>
      <c r="J85" s="701">
        <v>417.37000282038935</v>
      </c>
      <c r="K85" s="723">
        <v>1</v>
      </c>
      <c r="L85" s="701">
        <v>4</v>
      </c>
      <c r="M85" s="702">
        <v>417.37000282038935</v>
      </c>
    </row>
    <row r="86" spans="1:13" ht="14.4" customHeight="1" x14ac:dyDescent="0.3">
      <c r="A86" s="696" t="s">
        <v>519</v>
      </c>
      <c r="B86" s="697" t="s">
        <v>1722</v>
      </c>
      <c r="C86" s="697" t="s">
        <v>1724</v>
      </c>
      <c r="D86" s="697" t="s">
        <v>1002</v>
      </c>
      <c r="E86" s="697" t="s">
        <v>1725</v>
      </c>
      <c r="F86" s="701">
        <v>1</v>
      </c>
      <c r="G86" s="701">
        <v>89.08</v>
      </c>
      <c r="H86" s="723">
        <v>1</v>
      </c>
      <c r="I86" s="701"/>
      <c r="J86" s="701"/>
      <c r="K86" s="723">
        <v>0</v>
      </c>
      <c r="L86" s="701">
        <v>1</v>
      </c>
      <c r="M86" s="702">
        <v>89.08</v>
      </c>
    </row>
    <row r="87" spans="1:13" ht="14.4" customHeight="1" x14ac:dyDescent="0.3">
      <c r="A87" s="696" t="s">
        <v>519</v>
      </c>
      <c r="B87" s="697" t="s">
        <v>1726</v>
      </c>
      <c r="C87" s="697" t="s">
        <v>1727</v>
      </c>
      <c r="D87" s="697" t="s">
        <v>1728</v>
      </c>
      <c r="E87" s="697" t="s">
        <v>1729</v>
      </c>
      <c r="F87" s="701">
        <v>1</v>
      </c>
      <c r="G87" s="701">
        <v>963.95</v>
      </c>
      <c r="H87" s="723">
        <v>1</v>
      </c>
      <c r="I87" s="701"/>
      <c r="J87" s="701"/>
      <c r="K87" s="723">
        <v>0</v>
      </c>
      <c r="L87" s="701">
        <v>1</v>
      </c>
      <c r="M87" s="702">
        <v>963.95</v>
      </c>
    </row>
    <row r="88" spans="1:13" ht="14.4" customHeight="1" x14ac:dyDescent="0.3">
      <c r="A88" s="696" t="s">
        <v>519</v>
      </c>
      <c r="B88" s="697" t="s">
        <v>1730</v>
      </c>
      <c r="C88" s="697" t="s">
        <v>1731</v>
      </c>
      <c r="D88" s="697" t="s">
        <v>556</v>
      </c>
      <c r="E88" s="697" t="s">
        <v>557</v>
      </c>
      <c r="F88" s="701"/>
      <c r="G88" s="701"/>
      <c r="H88" s="723">
        <v>0</v>
      </c>
      <c r="I88" s="701">
        <v>2</v>
      </c>
      <c r="J88" s="701">
        <v>32.399999999999991</v>
      </c>
      <c r="K88" s="723">
        <v>1</v>
      </c>
      <c r="L88" s="701">
        <v>2</v>
      </c>
      <c r="M88" s="702">
        <v>32.399999999999991</v>
      </c>
    </row>
    <row r="89" spans="1:13" ht="14.4" customHeight="1" x14ac:dyDescent="0.3">
      <c r="A89" s="696" t="s">
        <v>519</v>
      </c>
      <c r="B89" s="697" t="s">
        <v>1732</v>
      </c>
      <c r="C89" s="697" t="s">
        <v>1733</v>
      </c>
      <c r="D89" s="697" t="s">
        <v>1148</v>
      </c>
      <c r="E89" s="697" t="s">
        <v>1734</v>
      </c>
      <c r="F89" s="701">
        <v>-2</v>
      </c>
      <c r="G89" s="701">
        <v>-125.66999999999997</v>
      </c>
      <c r="H89" s="723">
        <v>1</v>
      </c>
      <c r="I89" s="701"/>
      <c r="J89" s="701"/>
      <c r="K89" s="723">
        <v>0</v>
      </c>
      <c r="L89" s="701">
        <v>-2</v>
      </c>
      <c r="M89" s="702">
        <v>-125.66999999999997</v>
      </c>
    </row>
    <row r="90" spans="1:13" ht="14.4" customHeight="1" x14ac:dyDescent="0.3">
      <c r="A90" s="696" t="s">
        <v>519</v>
      </c>
      <c r="B90" s="697" t="s">
        <v>1732</v>
      </c>
      <c r="C90" s="697" t="s">
        <v>1735</v>
      </c>
      <c r="D90" s="697" t="s">
        <v>1150</v>
      </c>
      <c r="E90" s="697" t="s">
        <v>1736</v>
      </c>
      <c r="F90" s="701">
        <v>0</v>
      </c>
      <c r="G90" s="701">
        <v>0</v>
      </c>
      <c r="H90" s="723"/>
      <c r="I90" s="701"/>
      <c r="J90" s="701"/>
      <c r="K90" s="723"/>
      <c r="L90" s="701">
        <v>0</v>
      </c>
      <c r="M90" s="702">
        <v>0</v>
      </c>
    </row>
    <row r="91" spans="1:13" ht="14.4" customHeight="1" x14ac:dyDescent="0.3">
      <c r="A91" s="696" t="s">
        <v>519</v>
      </c>
      <c r="B91" s="697" t="s">
        <v>1732</v>
      </c>
      <c r="C91" s="697" t="s">
        <v>1737</v>
      </c>
      <c r="D91" s="697" t="s">
        <v>1738</v>
      </c>
      <c r="E91" s="697" t="s">
        <v>1739</v>
      </c>
      <c r="F91" s="701"/>
      <c r="G91" s="701"/>
      <c r="H91" s="723"/>
      <c r="I91" s="701">
        <v>0</v>
      </c>
      <c r="J91" s="701">
        <v>0</v>
      </c>
      <c r="K91" s="723"/>
      <c r="L91" s="701">
        <v>0</v>
      </c>
      <c r="M91" s="702">
        <v>0</v>
      </c>
    </row>
    <row r="92" spans="1:13" ht="14.4" customHeight="1" x14ac:dyDescent="0.3">
      <c r="A92" s="696" t="s">
        <v>519</v>
      </c>
      <c r="B92" s="697" t="s">
        <v>1740</v>
      </c>
      <c r="C92" s="697" t="s">
        <v>1741</v>
      </c>
      <c r="D92" s="697" t="s">
        <v>1742</v>
      </c>
      <c r="E92" s="697" t="s">
        <v>1743</v>
      </c>
      <c r="F92" s="701"/>
      <c r="G92" s="701"/>
      <c r="H92" s="723">
        <v>0</v>
      </c>
      <c r="I92" s="701">
        <v>150</v>
      </c>
      <c r="J92" s="701">
        <v>102810</v>
      </c>
      <c r="K92" s="723">
        <v>1</v>
      </c>
      <c r="L92" s="701">
        <v>150</v>
      </c>
      <c r="M92" s="702">
        <v>102810</v>
      </c>
    </row>
    <row r="93" spans="1:13" ht="14.4" customHeight="1" x14ac:dyDescent="0.3">
      <c r="A93" s="696" t="s">
        <v>519</v>
      </c>
      <c r="B93" s="697" t="s">
        <v>1740</v>
      </c>
      <c r="C93" s="697" t="s">
        <v>1744</v>
      </c>
      <c r="D93" s="697" t="s">
        <v>1745</v>
      </c>
      <c r="E93" s="697" t="s">
        <v>1746</v>
      </c>
      <c r="F93" s="701">
        <v>250</v>
      </c>
      <c r="G93" s="701">
        <v>35922.210000000006</v>
      </c>
      <c r="H93" s="723">
        <v>1</v>
      </c>
      <c r="I93" s="701"/>
      <c r="J93" s="701"/>
      <c r="K93" s="723">
        <v>0</v>
      </c>
      <c r="L93" s="701">
        <v>250</v>
      </c>
      <c r="M93" s="702">
        <v>35922.210000000006</v>
      </c>
    </row>
    <row r="94" spans="1:13" ht="14.4" customHeight="1" x14ac:dyDescent="0.3">
      <c r="A94" s="696" t="s">
        <v>519</v>
      </c>
      <c r="B94" s="697" t="s">
        <v>1747</v>
      </c>
      <c r="C94" s="697" t="s">
        <v>1748</v>
      </c>
      <c r="D94" s="697" t="s">
        <v>1078</v>
      </c>
      <c r="E94" s="697" t="s">
        <v>1749</v>
      </c>
      <c r="F94" s="701">
        <v>16</v>
      </c>
      <c r="G94" s="701">
        <v>13464</v>
      </c>
      <c r="H94" s="723">
        <v>1</v>
      </c>
      <c r="I94" s="701"/>
      <c r="J94" s="701"/>
      <c r="K94" s="723">
        <v>0</v>
      </c>
      <c r="L94" s="701">
        <v>16</v>
      </c>
      <c r="M94" s="702">
        <v>13464</v>
      </c>
    </row>
    <row r="95" spans="1:13" ht="14.4" customHeight="1" x14ac:dyDescent="0.3">
      <c r="A95" s="696" t="s">
        <v>519</v>
      </c>
      <c r="B95" s="697" t="s">
        <v>1747</v>
      </c>
      <c r="C95" s="697" t="s">
        <v>1750</v>
      </c>
      <c r="D95" s="697" t="s">
        <v>1751</v>
      </c>
      <c r="E95" s="697" t="s">
        <v>1752</v>
      </c>
      <c r="F95" s="701">
        <v>80</v>
      </c>
      <c r="G95" s="701">
        <v>5744.8</v>
      </c>
      <c r="H95" s="723">
        <v>1</v>
      </c>
      <c r="I95" s="701"/>
      <c r="J95" s="701"/>
      <c r="K95" s="723">
        <v>0</v>
      </c>
      <c r="L95" s="701">
        <v>80</v>
      </c>
      <c r="M95" s="702">
        <v>5744.8</v>
      </c>
    </row>
    <row r="96" spans="1:13" ht="14.4" customHeight="1" x14ac:dyDescent="0.3">
      <c r="A96" s="696" t="s">
        <v>519</v>
      </c>
      <c r="B96" s="697" t="s">
        <v>1747</v>
      </c>
      <c r="C96" s="697" t="s">
        <v>1753</v>
      </c>
      <c r="D96" s="697" t="s">
        <v>1076</v>
      </c>
      <c r="E96" s="697" t="s">
        <v>1749</v>
      </c>
      <c r="F96" s="701"/>
      <c r="G96" s="701"/>
      <c r="H96" s="723">
        <v>0</v>
      </c>
      <c r="I96" s="701">
        <v>186</v>
      </c>
      <c r="J96" s="701">
        <v>160863.16</v>
      </c>
      <c r="K96" s="723">
        <v>1</v>
      </c>
      <c r="L96" s="701">
        <v>186</v>
      </c>
      <c r="M96" s="702">
        <v>160863.16</v>
      </c>
    </row>
    <row r="97" spans="1:13" ht="14.4" customHeight="1" x14ac:dyDescent="0.3">
      <c r="A97" s="696" t="s">
        <v>519</v>
      </c>
      <c r="B97" s="697" t="s">
        <v>1754</v>
      </c>
      <c r="C97" s="697" t="s">
        <v>1755</v>
      </c>
      <c r="D97" s="697" t="s">
        <v>1756</v>
      </c>
      <c r="E97" s="697" t="s">
        <v>1757</v>
      </c>
      <c r="F97" s="701"/>
      <c r="G97" s="701"/>
      <c r="H97" s="723">
        <v>0</v>
      </c>
      <c r="I97" s="701">
        <v>11</v>
      </c>
      <c r="J97" s="701">
        <v>1210</v>
      </c>
      <c r="K97" s="723">
        <v>1</v>
      </c>
      <c r="L97" s="701">
        <v>11</v>
      </c>
      <c r="M97" s="702">
        <v>1210</v>
      </c>
    </row>
    <row r="98" spans="1:13" ht="14.4" customHeight="1" x14ac:dyDescent="0.3">
      <c r="A98" s="696" t="s">
        <v>519</v>
      </c>
      <c r="B98" s="697" t="s">
        <v>1758</v>
      </c>
      <c r="C98" s="697" t="s">
        <v>1759</v>
      </c>
      <c r="D98" s="697" t="s">
        <v>1183</v>
      </c>
      <c r="E98" s="697" t="s">
        <v>1760</v>
      </c>
      <c r="F98" s="701"/>
      <c r="G98" s="701"/>
      <c r="H98" s="723">
        <v>0</v>
      </c>
      <c r="I98" s="701">
        <v>2</v>
      </c>
      <c r="J98" s="701">
        <v>161.47999999999999</v>
      </c>
      <c r="K98" s="723">
        <v>1</v>
      </c>
      <c r="L98" s="701">
        <v>2</v>
      </c>
      <c r="M98" s="702">
        <v>161.47999999999999</v>
      </c>
    </row>
    <row r="99" spans="1:13" ht="14.4" customHeight="1" x14ac:dyDescent="0.3">
      <c r="A99" s="696" t="s">
        <v>519</v>
      </c>
      <c r="B99" s="697" t="s">
        <v>1761</v>
      </c>
      <c r="C99" s="697" t="s">
        <v>1762</v>
      </c>
      <c r="D99" s="697" t="s">
        <v>1011</v>
      </c>
      <c r="E99" s="697" t="s">
        <v>1763</v>
      </c>
      <c r="F99" s="701"/>
      <c r="G99" s="701"/>
      <c r="H99" s="723">
        <v>0</v>
      </c>
      <c r="I99" s="701">
        <v>21</v>
      </c>
      <c r="J99" s="701">
        <v>702.94999931895177</v>
      </c>
      <c r="K99" s="723">
        <v>1</v>
      </c>
      <c r="L99" s="701">
        <v>21</v>
      </c>
      <c r="M99" s="702">
        <v>702.94999931895177</v>
      </c>
    </row>
    <row r="100" spans="1:13" ht="14.4" customHeight="1" x14ac:dyDescent="0.3">
      <c r="A100" s="696" t="s">
        <v>519</v>
      </c>
      <c r="B100" s="697" t="s">
        <v>1761</v>
      </c>
      <c r="C100" s="697" t="s">
        <v>1764</v>
      </c>
      <c r="D100" s="697" t="s">
        <v>1011</v>
      </c>
      <c r="E100" s="697" t="s">
        <v>1765</v>
      </c>
      <c r="F100" s="701"/>
      <c r="G100" s="701"/>
      <c r="H100" s="723"/>
      <c r="I100" s="701">
        <v>0</v>
      </c>
      <c r="J100" s="701">
        <v>0</v>
      </c>
      <c r="K100" s="723"/>
      <c r="L100" s="701">
        <v>0</v>
      </c>
      <c r="M100" s="702">
        <v>0</v>
      </c>
    </row>
    <row r="101" spans="1:13" ht="14.4" customHeight="1" x14ac:dyDescent="0.3">
      <c r="A101" s="696" t="s">
        <v>519</v>
      </c>
      <c r="B101" s="697" t="s">
        <v>1761</v>
      </c>
      <c r="C101" s="697" t="s">
        <v>1766</v>
      </c>
      <c r="D101" s="697" t="s">
        <v>1011</v>
      </c>
      <c r="E101" s="697" t="s">
        <v>1767</v>
      </c>
      <c r="F101" s="701"/>
      <c r="G101" s="701"/>
      <c r="H101" s="723">
        <v>0</v>
      </c>
      <c r="I101" s="701">
        <v>518</v>
      </c>
      <c r="J101" s="701">
        <v>26242.92</v>
      </c>
      <c r="K101" s="723">
        <v>1</v>
      </c>
      <c r="L101" s="701">
        <v>518</v>
      </c>
      <c r="M101" s="702">
        <v>26242.92</v>
      </c>
    </row>
    <row r="102" spans="1:13" ht="14.4" customHeight="1" x14ac:dyDescent="0.3">
      <c r="A102" s="696" t="s">
        <v>519</v>
      </c>
      <c r="B102" s="697" t="s">
        <v>1768</v>
      </c>
      <c r="C102" s="697" t="s">
        <v>1769</v>
      </c>
      <c r="D102" s="697" t="s">
        <v>1770</v>
      </c>
      <c r="E102" s="697" t="s">
        <v>1771</v>
      </c>
      <c r="F102" s="701"/>
      <c r="G102" s="701"/>
      <c r="H102" s="723">
        <v>0</v>
      </c>
      <c r="I102" s="701">
        <v>65</v>
      </c>
      <c r="J102" s="701">
        <v>14657.5</v>
      </c>
      <c r="K102" s="723">
        <v>1</v>
      </c>
      <c r="L102" s="701">
        <v>65</v>
      </c>
      <c r="M102" s="702">
        <v>14657.5</v>
      </c>
    </row>
    <row r="103" spans="1:13" ht="14.4" customHeight="1" x14ac:dyDescent="0.3">
      <c r="A103" s="696" t="s">
        <v>519</v>
      </c>
      <c r="B103" s="697" t="s">
        <v>1768</v>
      </c>
      <c r="C103" s="697" t="s">
        <v>1772</v>
      </c>
      <c r="D103" s="697" t="s">
        <v>1040</v>
      </c>
      <c r="E103" s="697" t="s">
        <v>1773</v>
      </c>
      <c r="F103" s="701">
        <v>1</v>
      </c>
      <c r="G103" s="701">
        <v>28.779999999999998</v>
      </c>
      <c r="H103" s="723">
        <v>1</v>
      </c>
      <c r="I103" s="701"/>
      <c r="J103" s="701"/>
      <c r="K103" s="723">
        <v>0</v>
      </c>
      <c r="L103" s="701">
        <v>1</v>
      </c>
      <c r="M103" s="702">
        <v>28.779999999999998</v>
      </c>
    </row>
    <row r="104" spans="1:13" ht="14.4" customHeight="1" x14ac:dyDescent="0.3">
      <c r="A104" s="696" t="s">
        <v>519</v>
      </c>
      <c r="B104" s="697" t="s">
        <v>1774</v>
      </c>
      <c r="C104" s="697" t="s">
        <v>1775</v>
      </c>
      <c r="D104" s="697" t="s">
        <v>680</v>
      </c>
      <c r="E104" s="697" t="s">
        <v>1776</v>
      </c>
      <c r="F104" s="701"/>
      <c r="G104" s="701"/>
      <c r="H104" s="723">
        <v>0</v>
      </c>
      <c r="I104" s="701">
        <v>30</v>
      </c>
      <c r="J104" s="701">
        <v>15082.119999999999</v>
      </c>
      <c r="K104" s="723">
        <v>1</v>
      </c>
      <c r="L104" s="701">
        <v>30</v>
      </c>
      <c r="M104" s="702">
        <v>15082.119999999999</v>
      </c>
    </row>
    <row r="105" spans="1:13" ht="14.4" customHeight="1" x14ac:dyDescent="0.3">
      <c r="A105" s="696" t="s">
        <v>519</v>
      </c>
      <c r="B105" s="697" t="s">
        <v>1777</v>
      </c>
      <c r="C105" s="697" t="s">
        <v>1778</v>
      </c>
      <c r="D105" s="697" t="s">
        <v>1067</v>
      </c>
      <c r="E105" s="697" t="s">
        <v>1068</v>
      </c>
      <c r="F105" s="701"/>
      <c r="G105" s="701"/>
      <c r="H105" s="723">
        <v>0</v>
      </c>
      <c r="I105" s="701">
        <v>1</v>
      </c>
      <c r="J105" s="701">
        <v>2031.5000000000009</v>
      </c>
      <c r="K105" s="723">
        <v>1</v>
      </c>
      <c r="L105" s="701">
        <v>1</v>
      </c>
      <c r="M105" s="702">
        <v>2031.5000000000009</v>
      </c>
    </row>
    <row r="106" spans="1:13" ht="14.4" customHeight="1" x14ac:dyDescent="0.3">
      <c r="A106" s="696" t="s">
        <v>519</v>
      </c>
      <c r="B106" s="697" t="s">
        <v>1779</v>
      </c>
      <c r="C106" s="697" t="s">
        <v>1780</v>
      </c>
      <c r="D106" s="697" t="s">
        <v>1781</v>
      </c>
      <c r="E106" s="697" t="s">
        <v>1782</v>
      </c>
      <c r="F106" s="701">
        <v>1</v>
      </c>
      <c r="G106" s="701">
        <v>575.14000000000021</v>
      </c>
      <c r="H106" s="723">
        <v>1</v>
      </c>
      <c r="I106" s="701"/>
      <c r="J106" s="701"/>
      <c r="K106" s="723">
        <v>0</v>
      </c>
      <c r="L106" s="701">
        <v>1</v>
      </c>
      <c r="M106" s="702">
        <v>575.14000000000021</v>
      </c>
    </row>
    <row r="107" spans="1:13" ht="14.4" customHeight="1" x14ac:dyDescent="0.3">
      <c r="A107" s="696" t="s">
        <v>519</v>
      </c>
      <c r="B107" s="697" t="s">
        <v>1783</v>
      </c>
      <c r="C107" s="697" t="s">
        <v>1784</v>
      </c>
      <c r="D107" s="697" t="s">
        <v>1785</v>
      </c>
      <c r="E107" s="697" t="s">
        <v>1786</v>
      </c>
      <c r="F107" s="701"/>
      <c r="G107" s="701"/>
      <c r="H107" s="723">
        <v>0</v>
      </c>
      <c r="I107" s="701">
        <v>30</v>
      </c>
      <c r="J107" s="701">
        <v>588.55999999999995</v>
      </c>
      <c r="K107" s="723">
        <v>1</v>
      </c>
      <c r="L107" s="701">
        <v>30</v>
      </c>
      <c r="M107" s="702">
        <v>588.55999999999995</v>
      </c>
    </row>
    <row r="108" spans="1:13" ht="14.4" customHeight="1" x14ac:dyDescent="0.3">
      <c r="A108" s="696" t="s">
        <v>519</v>
      </c>
      <c r="B108" s="697" t="s">
        <v>1783</v>
      </c>
      <c r="C108" s="697" t="s">
        <v>1787</v>
      </c>
      <c r="D108" s="697" t="s">
        <v>1785</v>
      </c>
      <c r="E108" s="697" t="s">
        <v>1788</v>
      </c>
      <c r="F108" s="701"/>
      <c r="G108" s="701"/>
      <c r="H108" s="723">
        <v>0</v>
      </c>
      <c r="I108" s="701">
        <v>5</v>
      </c>
      <c r="J108" s="701">
        <v>45.680000000000007</v>
      </c>
      <c r="K108" s="723">
        <v>1</v>
      </c>
      <c r="L108" s="701">
        <v>5</v>
      </c>
      <c r="M108" s="702">
        <v>45.680000000000007</v>
      </c>
    </row>
    <row r="109" spans="1:13" ht="14.4" customHeight="1" x14ac:dyDescent="0.3">
      <c r="A109" s="696" t="s">
        <v>519</v>
      </c>
      <c r="B109" s="697" t="s">
        <v>1789</v>
      </c>
      <c r="C109" s="697" t="s">
        <v>1790</v>
      </c>
      <c r="D109" s="697" t="s">
        <v>1791</v>
      </c>
      <c r="E109" s="697" t="s">
        <v>1792</v>
      </c>
      <c r="F109" s="701"/>
      <c r="G109" s="701"/>
      <c r="H109" s="723">
        <v>0</v>
      </c>
      <c r="I109" s="701">
        <v>10</v>
      </c>
      <c r="J109" s="701">
        <v>493.69999999999987</v>
      </c>
      <c r="K109" s="723">
        <v>1</v>
      </c>
      <c r="L109" s="701">
        <v>10</v>
      </c>
      <c r="M109" s="702">
        <v>493.69999999999987</v>
      </c>
    </row>
    <row r="110" spans="1:13" ht="14.4" customHeight="1" x14ac:dyDescent="0.3">
      <c r="A110" s="696" t="s">
        <v>519</v>
      </c>
      <c r="B110" s="697" t="s">
        <v>1789</v>
      </c>
      <c r="C110" s="697" t="s">
        <v>1793</v>
      </c>
      <c r="D110" s="697" t="s">
        <v>1791</v>
      </c>
      <c r="E110" s="697" t="s">
        <v>1794</v>
      </c>
      <c r="F110" s="701"/>
      <c r="G110" s="701"/>
      <c r="H110" s="723">
        <v>0</v>
      </c>
      <c r="I110" s="701">
        <v>2</v>
      </c>
      <c r="J110" s="701">
        <v>134.64000000000001</v>
      </c>
      <c r="K110" s="723">
        <v>1</v>
      </c>
      <c r="L110" s="701">
        <v>2</v>
      </c>
      <c r="M110" s="702">
        <v>134.64000000000001</v>
      </c>
    </row>
    <row r="111" spans="1:13" ht="14.4" customHeight="1" x14ac:dyDescent="0.3">
      <c r="A111" s="696" t="s">
        <v>519</v>
      </c>
      <c r="B111" s="697" t="s">
        <v>1789</v>
      </c>
      <c r="C111" s="697" t="s">
        <v>1795</v>
      </c>
      <c r="D111" s="697" t="s">
        <v>1791</v>
      </c>
      <c r="E111" s="697" t="s">
        <v>1796</v>
      </c>
      <c r="F111" s="701"/>
      <c r="G111" s="701"/>
      <c r="H111" s="723">
        <v>0</v>
      </c>
      <c r="I111" s="701">
        <v>2</v>
      </c>
      <c r="J111" s="701">
        <v>190.84000000000003</v>
      </c>
      <c r="K111" s="723">
        <v>1</v>
      </c>
      <c r="L111" s="701">
        <v>2</v>
      </c>
      <c r="M111" s="702">
        <v>190.84000000000003</v>
      </c>
    </row>
    <row r="112" spans="1:13" ht="14.4" customHeight="1" x14ac:dyDescent="0.3">
      <c r="A112" s="696" t="s">
        <v>519</v>
      </c>
      <c r="B112" s="697" t="s">
        <v>1789</v>
      </c>
      <c r="C112" s="697" t="s">
        <v>1797</v>
      </c>
      <c r="D112" s="697" t="s">
        <v>1791</v>
      </c>
      <c r="E112" s="697" t="s">
        <v>1798</v>
      </c>
      <c r="F112" s="701"/>
      <c r="G112" s="701"/>
      <c r="H112" s="723">
        <v>0</v>
      </c>
      <c r="I112" s="701">
        <v>73</v>
      </c>
      <c r="J112" s="701">
        <v>20508.740000000002</v>
      </c>
      <c r="K112" s="723">
        <v>1</v>
      </c>
      <c r="L112" s="701">
        <v>73</v>
      </c>
      <c r="M112" s="702">
        <v>20508.740000000002</v>
      </c>
    </row>
    <row r="113" spans="1:13" ht="14.4" customHeight="1" x14ac:dyDescent="0.3">
      <c r="A113" s="696" t="s">
        <v>519</v>
      </c>
      <c r="B113" s="697" t="s">
        <v>1799</v>
      </c>
      <c r="C113" s="697" t="s">
        <v>1800</v>
      </c>
      <c r="D113" s="697" t="s">
        <v>1208</v>
      </c>
      <c r="E113" s="697" t="s">
        <v>1801</v>
      </c>
      <c r="F113" s="701"/>
      <c r="G113" s="701"/>
      <c r="H113" s="723">
        <v>0</v>
      </c>
      <c r="I113" s="701">
        <v>5</v>
      </c>
      <c r="J113" s="701">
        <v>109.93</v>
      </c>
      <c r="K113" s="723">
        <v>1</v>
      </c>
      <c r="L113" s="701">
        <v>5</v>
      </c>
      <c r="M113" s="702">
        <v>109.93</v>
      </c>
    </row>
    <row r="114" spans="1:13" ht="14.4" customHeight="1" x14ac:dyDescent="0.3">
      <c r="A114" s="696" t="s">
        <v>519</v>
      </c>
      <c r="B114" s="697" t="s">
        <v>1799</v>
      </c>
      <c r="C114" s="697" t="s">
        <v>1802</v>
      </c>
      <c r="D114" s="697" t="s">
        <v>1208</v>
      </c>
      <c r="E114" s="697" t="s">
        <v>1803</v>
      </c>
      <c r="F114" s="701"/>
      <c r="G114" s="701"/>
      <c r="H114" s="723">
        <v>0</v>
      </c>
      <c r="I114" s="701">
        <v>3</v>
      </c>
      <c r="J114" s="701">
        <v>136.47</v>
      </c>
      <c r="K114" s="723">
        <v>1</v>
      </c>
      <c r="L114" s="701">
        <v>3</v>
      </c>
      <c r="M114" s="702">
        <v>136.47</v>
      </c>
    </row>
    <row r="115" spans="1:13" ht="14.4" customHeight="1" x14ac:dyDescent="0.3">
      <c r="A115" s="696" t="s">
        <v>519</v>
      </c>
      <c r="B115" s="697" t="s">
        <v>1799</v>
      </c>
      <c r="C115" s="697" t="s">
        <v>1804</v>
      </c>
      <c r="D115" s="697" t="s">
        <v>1805</v>
      </c>
      <c r="E115" s="697" t="s">
        <v>1801</v>
      </c>
      <c r="F115" s="701">
        <v>1</v>
      </c>
      <c r="G115" s="701">
        <v>40.260000000000005</v>
      </c>
      <c r="H115" s="723">
        <v>1</v>
      </c>
      <c r="I115" s="701"/>
      <c r="J115" s="701"/>
      <c r="K115" s="723">
        <v>0</v>
      </c>
      <c r="L115" s="701">
        <v>1</v>
      </c>
      <c r="M115" s="702">
        <v>40.260000000000005</v>
      </c>
    </row>
    <row r="116" spans="1:13" ht="14.4" customHeight="1" x14ac:dyDescent="0.3">
      <c r="A116" s="696" t="s">
        <v>519</v>
      </c>
      <c r="B116" s="697" t="s">
        <v>1806</v>
      </c>
      <c r="C116" s="697" t="s">
        <v>1807</v>
      </c>
      <c r="D116" s="697" t="s">
        <v>654</v>
      </c>
      <c r="E116" s="697" t="s">
        <v>655</v>
      </c>
      <c r="F116" s="701"/>
      <c r="G116" s="701"/>
      <c r="H116" s="723">
        <v>0</v>
      </c>
      <c r="I116" s="701">
        <v>33</v>
      </c>
      <c r="J116" s="701">
        <v>896.52</v>
      </c>
      <c r="K116" s="723">
        <v>1</v>
      </c>
      <c r="L116" s="701">
        <v>33</v>
      </c>
      <c r="M116" s="702">
        <v>896.52</v>
      </c>
    </row>
    <row r="117" spans="1:13" ht="14.4" customHeight="1" x14ac:dyDescent="0.3">
      <c r="A117" s="696" t="s">
        <v>519</v>
      </c>
      <c r="B117" s="697" t="s">
        <v>1808</v>
      </c>
      <c r="C117" s="697" t="s">
        <v>1809</v>
      </c>
      <c r="D117" s="697" t="s">
        <v>1810</v>
      </c>
      <c r="E117" s="697" t="s">
        <v>655</v>
      </c>
      <c r="F117" s="701">
        <v>1</v>
      </c>
      <c r="G117" s="701">
        <v>118.92000000000009</v>
      </c>
      <c r="H117" s="723">
        <v>1</v>
      </c>
      <c r="I117" s="701"/>
      <c r="J117" s="701"/>
      <c r="K117" s="723">
        <v>0</v>
      </c>
      <c r="L117" s="701">
        <v>1</v>
      </c>
      <c r="M117" s="702">
        <v>118.92000000000009</v>
      </c>
    </row>
    <row r="118" spans="1:13" ht="14.4" customHeight="1" x14ac:dyDescent="0.3">
      <c r="A118" s="696" t="s">
        <v>519</v>
      </c>
      <c r="B118" s="697" t="s">
        <v>1811</v>
      </c>
      <c r="C118" s="697" t="s">
        <v>1812</v>
      </c>
      <c r="D118" s="697" t="s">
        <v>1813</v>
      </c>
      <c r="E118" s="697" t="s">
        <v>1814</v>
      </c>
      <c r="F118" s="701"/>
      <c r="G118" s="701"/>
      <c r="H118" s="723">
        <v>0</v>
      </c>
      <c r="I118" s="701">
        <v>1</v>
      </c>
      <c r="J118" s="701">
        <v>50.35</v>
      </c>
      <c r="K118" s="723">
        <v>1</v>
      </c>
      <c r="L118" s="701">
        <v>1</v>
      </c>
      <c r="M118" s="702">
        <v>50.35</v>
      </c>
    </row>
    <row r="119" spans="1:13" ht="14.4" customHeight="1" x14ac:dyDescent="0.3">
      <c r="A119" s="696" t="s">
        <v>519</v>
      </c>
      <c r="B119" s="697" t="s">
        <v>1815</v>
      </c>
      <c r="C119" s="697" t="s">
        <v>1816</v>
      </c>
      <c r="D119" s="697" t="s">
        <v>1817</v>
      </c>
      <c r="E119" s="697" t="s">
        <v>1818</v>
      </c>
      <c r="F119" s="701"/>
      <c r="G119" s="701"/>
      <c r="H119" s="723">
        <v>0</v>
      </c>
      <c r="I119" s="701">
        <v>2</v>
      </c>
      <c r="J119" s="701">
        <v>142.24</v>
      </c>
      <c r="K119" s="723">
        <v>1</v>
      </c>
      <c r="L119" s="701">
        <v>2</v>
      </c>
      <c r="M119" s="702">
        <v>142.24</v>
      </c>
    </row>
    <row r="120" spans="1:13" ht="14.4" customHeight="1" x14ac:dyDescent="0.3">
      <c r="A120" s="696" t="s">
        <v>519</v>
      </c>
      <c r="B120" s="697" t="s">
        <v>1819</v>
      </c>
      <c r="C120" s="697" t="s">
        <v>1820</v>
      </c>
      <c r="D120" s="697" t="s">
        <v>1821</v>
      </c>
      <c r="E120" s="697" t="s">
        <v>1822</v>
      </c>
      <c r="F120" s="701"/>
      <c r="G120" s="701"/>
      <c r="H120" s="723">
        <v>0</v>
      </c>
      <c r="I120" s="701">
        <v>40</v>
      </c>
      <c r="J120" s="701">
        <v>3248.0800000000008</v>
      </c>
      <c r="K120" s="723">
        <v>1</v>
      </c>
      <c r="L120" s="701">
        <v>40</v>
      </c>
      <c r="M120" s="702">
        <v>3248.0800000000008</v>
      </c>
    </row>
    <row r="121" spans="1:13" ht="14.4" customHeight="1" x14ac:dyDescent="0.3">
      <c r="A121" s="696" t="s">
        <v>519</v>
      </c>
      <c r="B121" s="697" t="s">
        <v>1823</v>
      </c>
      <c r="C121" s="697" t="s">
        <v>1824</v>
      </c>
      <c r="D121" s="697" t="s">
        <v>1825</v>
      </c>
      <c r="E121" s="697" t="s">
        <v>1826</v>
      </c>
      <c r="F121" s="701"/>
      <c r="G121" s="701"/>
      <c r="H121" s="723">
        <v>0</v>
      </c>
      <c r="I121" s="701">
        <v>1</v>
      </c>
      <c r="J121" s="701">
        <v>686</v>
      </c>
      <c r="K121" s="723">
        <v>1</v>
      </c>
      <c r="L121" s="701">
        <v>1</v>
      </c>
      <c r="M121" s="702">
        <v>686</v>
      </c>
    </row>
    <row r="122" spans="1:13" ht="14.4" customHeight="1" x14ac:dyDescent="0.3">
      <c r="A122" s="696" t="s">
        <v>519</v>
      </c>
      <c r="B122" s="697" t="s">
        <v>1827</v>
      </c>
      <c r="C122" s="697" t="s">
        <v>1828</v>
      </c>
      <c r="D122" s="697" t="s">
        <v>977</v>
      </c>
      <c r="E122" s="697" t="s">
        <v>978</v>
      </c>
      <c r="F122" s="701">
        <v>10</v>
      </c>
      <c r="G122" s="701">
        <v>976</v>
      </c>
      <c r="H122" s="723">
        <v>1</v>
      </c>
      <c r="I122" s="701"/>
      <c r="J122" s="701"/>
      <c r="K122" s="723">
        <v>0</v>
      </c>
      <c r="L122" s="701">
        <v>10</v>
      </c>
      <c r="M122" s="702">
        <v>976</v>
      </c>
    </row>
    <row r="123" spans="1:13" ht="14.4" customHeight="1" x14ac:dyDescent="0.3">
      <c r="A123" s="696" t="s">
        <v>519</v>
      </c>
      <c r="B123" s="697" t="s">
        <v>1829</v>
      </c>
      <c r="C123" s="697" t="s">
        <v>1830</v>
      </c>
      <c r="D123" s="697" t="s">
        <v>1212</v>
      </c>
      <c r="E123" s="697" t="s">
        <v>1803</v>
      </c>
      <c r="F123" s="701">
        <v>2</v>
      </c>
      <c r="G123" s="701">
        <v>282.05</v>
      </c>
      <c r="H123" s="723">
        <v>1</v>
      </c>
      <c r="I123" s="701"/>
      <c r="J123" s="701"/>
      <c r="K123" s="723">
        <v>0</v>
      </c>
      <c r="L123" s="701">
        <v>2</v>
      </c>
      <c r="M123" s="702">
        <v>282.05</v>
      </c>
    </row>
    <row r="124" spans="1:13" ht="14.4" customHeight="1" x14ac:dyDescent="0.3">
      <c r="A124" s="696" t="s">
        <v>519</v>
      </c>
      <c r="B124" s="697" t="s">
        <v>1829</v>
      </c>
      <c r="C124" s="697" t="s">
        <v>1831</v>
      </c>
      <c r="D124" s="697" t="s">
        <v>1206</v>
      </c>
      <c r="E124" s="697" t="s">
        <v>653</v>
      </c>
      <c r="F124" s="701"/>
      <c r="G124" s="701"/>
      <c r="H124" s="723">
        <v>0</v>
      </c>
      <c r="I124" s="701">
        <v>1</v>
      </c>
      <c r="J124" s="701">
        <v>29.87</v>
      </c>
      <c r="K124" s="723">
        <v>1</v>
      </c>
      <c r="L124" s="701">
        <v>1</v>
      </c>
      <c r="M124" s="702">
        <v>29.87</v>
      </c>
    </row>
    <row r="125" spans="1:13" ht="14.4" customHeight="1" x14ac:dyDescent="0.3">
      <c r="A125" s="696" t="s">
        <v>519</v>
      </c>
      <c r="B125" s="697" t="s">
        <v>1829</v>
      </c>
      <c r="C125" s="697" t="s">
        <v>1832</v>
      </c>
      <c r="D125" s="697" t="s">
        <v>1206</v>
      </c>
      <c r="E125" s="697" t="s">
        <v>1833</v>
      </c>
      <c r="F125" s="701"/>
      <c r="G125" s="701"/>
      <c r="H125" s="723">
        <v>0</v>
      </c>
      <c r="I125" s="701">
        <v>1</v>
      </c>
      <c r="J125" s="701">
        <v>99.89</v>
      </c>
      <c r="K125" s="723">
        <v>1</v>
      </c>
      <c r="L125" s="701">
        <v>1</v>
      </c>
      <c r="M125" s="702">
        <v>99.89</v>
      </c>
    </row>
    <row r="126" spans="1:13" ht="14.4" customHeight="1" x14ac:dyDescent="0.3">
      <c r="A126" s="696" t="s">
        <v>519</v>
      </c>
      <c r="B126" s="697" t="s">
        <v>1834</v>
      </c>
      <c r="C126" s="697" t="s">
        <v>1835</v>
      </c>
      <c r="D126" s="697" t="s">
        <v>1247</v>
      </c>
      <c r="E126" s="697" t="s">
        <v>1248</v>
      </c>
      <c r="F126" s="701"/>
      <c r="G126" s="701"/>
      <c r="H126" s="723">
        <v>0</v>
      </c>
      <c r="I126" s="701">
        <v>5</v>
      </c>
      <c r="J126" s="701">
        <v>823.64999999999986</v>
      </c>
      <c r="K126" s="723">
        <v>1</v>
      </c>
      <c r="L126" s="701">
        <v>5</v>
      </c>
      <c r="M126" s="702">
        <v>823.64999999999986</v>
      </c>
    </row>
    <row r="127" spans="1:13" ht="14.4" customHeight="1" x14ac:dyDescent="0.3">
      <c r="A127" s="696" t="s">
        <v>519</v>
      </c>
      <c r="B127" s="697" t="s">
        <v>1834</v>
      </c>
      <c r="C127" s="697" t="s">
        <v>1836</v>
      </c>
      <c r="D127" s="697" t="s">
        <v>1249</v>
      </c>
      <c r="E127" s="697" t="s">
        <v>1248</v>
      </c>
      <c r="F127" s="701"/>
      <c r="G127" s="701"/>
      <c r="H127" s="723">
        <v>0</v>
      </c>
      <c r="I127" s="701">
        <v>11</v>
      </c>
      <c r="J127" s="701">
        <v>1812.0299999999997</v>
      </c>
      <c r="K127" s="723">
        <v>1</v>
      </c>
      <c r="L127" s="701">
        <v>11</v>
      </c>
      <c r="M127" s="702">
        <v>1812.0299999999997</v>
      </c>
    </row>
    <row r="128" spans="1:13" ht="14.4" customHeight="1" x14ac:dyDescent="0.3">
      <c r="A128" s="696" t="s">
        <v>519</v>
      </c>
      <c r="B128" s="697" t="s">
        <v>1834</v>
      </c>
      <c r="C128" s="697" t="s">
        <v>1837</v>
      </c>
      <c r="D128" s="697" t="s">
        <v>752</v>
      </c>
      <c r="E128" s="697" t="s">
        <v>1838</v>
      </c>
      <c r="F128" s="701">
        <v>2</v>
      </c>
      <c r="G128" s="701">
        <v>204.42000000000004</v>
      </c>
      <c r="H128" s="723">
        <v>1</v>
      </c>
      <c r="I128" s="701"/>
      <c r="J128" s="701"/>
      <c r="K128" s="723">
        <v>0</v>
      </c>
      <c r="L128" s="701">
        <v>2</v>
      </c>
      <c r="M128" s="702">
        <v>204.42000000000004</v>
      </c>
    </row>
    <row r="129" spans="1:13" ht="14.4" customHeight="1" x14ac:dyDescent="0.3">
      <c r="A129" s="696" t="s">
        <v>519</v>
      </c>
      <c r="B129" s="697" t="s">
        <v>1834</v>
      </c>
      <c r="C129" s="697" t="s">
        <v>1839</v>
      </c>
      <c r="D129" s="697" t="s">
        <v>1286</v>
      </c>
      <c r="E129" s="697" t="s">
        <v>1840</v>
      </c>
      <c r="F129" s="701"/>
      <c r="G129" s="701"/>
      <c r="H129" s="723">
        <v>0</v>
      </c>
      <c r="I129" s="701">
        <v>1</v>
      </c>
      <c r="J129" s="701">
        <v>195.99000000000015</v>
      </c>
      <c r="K129" s="723">
        <v>1</v>
      </c>
      <c r="L129" s="701">
        <v>1</v>
      </c>
      <c r="M129" s="702">
        <v>195.99000000000015</v>
      </c>
    </row>
    <row r="130" spans="1:13" ht="14.4" customHeight="1" x14ac:dyDescent="0.3">
      <c r="A130" s="696" t="s">
        <v>519</v>
      </c>
      <c r="B130" s="697" t="s">
        <v>1834</v>
      </c>
      <c r="C130" s="697" t="s">
        <v>1841</v>
      </c>
      <c r="D130" s="697" t="s">
        <v>1251</v>
      </c>
      <c r="E130" s="697" t="s">
        <v>1252</v>
      </c>
      <c r="F130" s="701"/>
      <c r="G130" s="701"/>
      <c r="H130" s="723">
        <v>0</v>
      </c>
      <c r="I130" s="701">
        <v>101</v>
      </c>
      <c r="J130" s="701">
        <v>4183.4800000000005</v>
      </c>
      <c r="K130" s="723">
        <v>1</v>
      </c>
      <c r="L130" s="701">
        <v>101</v>
      </c>
      <c r="M130" s="702">
        <v>4183.4800000000005</v>
      </c>
    </row>
    <row r="131" spans="1:13" ht="14.4" customHeight="1" x14ac:dyDescent="0.3">
      <c r="A131" s="696" t="s">
        <v>519</v>
      </c>
      <c r="B131" s="697" t="s">
        <v>1834</v>
      </c>
      <c r="C131" s="697" t="s">
        <v>1842</v>
      </c>
      <c r="D131" s="697" t="s">
        <v>1253</v>
      </c>
      <c r="E131" s="697" t="s">
        <v>1252</v>
      </c>
      <c r="F131" s="701"/>
      <c r="G131" s="701"/>
      <c r="H131" s="723">
        <v>0</v>
      </c>
      <c r="I131" s="701">
        <v>90</v>
      </c>
      <c r="J131" s="701">
        <v>3684.96</v>
      </c>
      <c r="K131" s="723">
        <v>1</v>
      </c>
      <c r="L131" s="701">
        <v>90</v>
      </c>
      <c r="M131" s="702">
        <v>3684.96</v>
      </c>
    </row>
    <row r="132" spans="1:13" ht="14.4" customHeight="1" x14ac:dyDescent="0.3">
      <c r="A132" s="696" t="s">
        <v>519</v>
      </c>
      <c r="B132" s="697" t="s">
        <v>1834</v>
      </c>
      <c r="C132" s="697" t="s">
        <v>1843</v>
      </c>
      <c r="D132" s="697" t="s">
        <v>1260</v>
      </c>
      <c r="E132" s="697" t="s">
        <v>1261</v>
      </c>
      <c r="F132" s="701"/>
      <c r="G132" s="701"/>
      <c r="H132" s="723">
        <v>0</v>
      </c>
      <c r="I132" s="701">
        <v>2</v>
      </c>
      <c r="J132" s="701">
        <v>271.2</v>
      </c>
      <c r="K132" s="723">
        <v>1</v>
      </c>
      <c r="L132" s="701">
        <v>2</v>
      </c>
      <c r="M132" s="702">
        <v>271.2</v>
      </c>
    </row>
    <row r="133" spans="1:13" ht="14.4" customHeight="1" x14ac:dyDescent="0.3">
      <c r="A133" s="696" t="s">
        <v>519</v>
      </c>
      <c r="B133" s="697" t="s">
        <v>1834</v>
      </c>
      <c r="C133" s="697" t="s">
        <v>1844</v>
      </c>
      <c r="D133" s="697" t="s">
        <v>1274</v>
      </c>
      <c r="E133" s="697" t="s">
        <v>1276</v>
      </c>
      <c r="F133" s="701"/>
      <c r="G133" s="701"/>
      <c r="H133" s="723">
        <v>0</v>
      </c>
      <c r="I133" s="701">
        <v>32</v>
      </c>
      <c r="J133" s="701">
        <v>1740.1599999999999</v>
      </c>
      <c r="K133" s="723">
        <v>1</v>
      </c>
      <c r="L133" s="701">
        <v>32</v>
      </c>
      <c r="M133" s="702">
        <v>1740.1599999999999</v>
      </c>
    </row>
    <row r="134" spans="1:13" ht="14.4" customHeight="1" x14ac:dyDescent="0.3">
      <c r="A134" s="696" t="s">
        <v>519</v>
      </c>
      <c r="B134" s="697" t="s">
        <v>1834</v>
      </c>
      <c r="C134" s="697" t="s">
        <v>1845</v>
      </c>
      <c r="D134" s="697" t="s">
        <v>1280</v>
      </c>
      <c r="E134" s="697" t="s">
        <v>1846</v>
      </c>
      <c r="F134" s="701"/>
      <c r="G134" s="701"/>
      <c r="H134" s="723">
        <v>0</v>
      </c>
      <c r="I134" s="701">
        <v>16</v>
      </c>
      <c r="J134" s="701">
        <v>2503.84</v>
      </c>
      <c r="K134" s="723">
        <v>1</v>
      </c>
      <c r="L134" s="701">
        <v>16</v>
      </c>
      <c r="M134" s="702">
        <v>2503.84</v>
      </c>
    </row>
    <row r="135" spans="1:13" ht="14.4" customHeight="1" x14ac:dyDescent="0.3">
      <c r="A135" s="696" t="s">
        <v>519</v>
      </c>
      <c r="B135" s="697" t="s">
        <v>1834</v>
      </c>
      <c r="C135" s="697" t="s">
        <v>1847</v>
      </c>
      <c r="D135" s="697" t="s">
        <v>1262</v>
      </c>
      <c r="E135" s="697" t="s">
        <v>1848</v>
      </c>
      <c r="F135" s="701"/>
      <c r="G135" s="701"/>
      <c r="H135" s="723">
        <v>0</v>
      </c>
      <c r="I135" s="701">
        <v>16</v>
      </c>
      <c r="J135" s="701">
        <v>1791.9600000000005</v>
      </c>
      <c r="K135" s="723">
        <v>1</v>
      </c>
      <c r="L135" s="701">
        <v>16</v>
      </c>
      <c r="M135" s="702">
        <v>1791.9600000000005</v>
      </c>
    </row>
    <row r="136" spans="1:13" ht="14.4" customHeight="1" x14ac:dyDescent="0.3">
      <c r="A136" s="696" t="s">
        <v>519</v>
      </c>
      <c r="B136" s="697" t="s">
        <v>1834</v>
      </c>
      <c r="C136" s="697" t="s">
        <v>1849</v>
      </c>
      <c r="D136" s="697" t="s">
        <v>1267</v>
      </c>
      <c r="E136" s="697" t="s">
        <v>1848</v>
      </c>
      <c r="F136" s="701"/>
      <c r="G136" s="701"/>
      <c r="H136" s="723">
        <v>0</v>
      </c>
      <c r="I136" s="701">
        <v>24</v>
      </c>
      <c r="J136" s="701">
        <v>2686.8</v>
      </c>
      <c r="K136" s="723">
        <v>1</v>
      </c>
      <c r="L136" s="701">
        <v>24</v>
      </c>
      <c r="M136" s="702">
        <v>2686.8</v>
      </c>
    </row>
    <row r="137" spans="1:13" ht="14.4" customHeight="1" x14ac:dyDescent="0.3">
      <c r="A137" s="696" t="s">
        <v>519</v>
      </c>
      <c r="B137" s="697" t="s">
        <v>1834</v>
      </c>
      <c r="C137" s="697" t="s">
        <v>1850</v>
      </c>
      <c r="D137" s="697" t="s">
        <v>1264</v>
      </c>
      <c r="E137" s="697" t="s">
        <v>1848</v>
      </c>
      <c r="F137" s="701"/>
      <c r="G137" s="701"/>
      <c r="H137" s="723">
        <v>0</v>
      </c>
      <c r="I137" s="701">
        <v>14</v>
      </c>
      <c r="J137" s="701">
        <v>1567.3000000000002</v>
      </c>
      <c r="K137" s="723">
        <v>1</v>
      </c>
      <c r="L137" s="701">
        <v>14</v>
      </c>
      <c r="M137" s="702">
        <v>1567.3000000000002</v>
      </c>
    </row>
    <row r="138" spans="1:13" ht="14.4" customHeight="1" x14ac:dyDescent="0.3">
      <c r="A138" s="696" t="s">
        <v>519</v>
      </c>
      <c r="B138" s="697" t="s">
        <v>1834</v>
      </c>
      <c r="C138" s="697" t="s">
        <v>1851</v>
      </c>
      <c r="D138" s="697" t="s">
        <v>1852</v>
      </c>
      <c r="E138" s="697" t="s">
        <v>1848</v>
      </c>
      <c r="F138" s="701"/>
      <c r="G138" s="701"/>
      <c r="H138" s="723">
        <v>0</v>
      </c>
      <c r="I138" s="701">
        <v>14</v>
      </c>
      <c r="J138" s="701">
        <v>1568.8300000000002</v>
      </c>
      <c r="K138" s="723">
        <v>1</v>
      </c>
      <c r="L138" s="701">
        <v>14</v>
      </c>
      <c r="M138" s="702">
        <v>1568.8300000000002</v>
      </c>
    </row>
    <row r="139" spans="1:13" ht="14.4" customHeight="1" x14ac:dyDescent="0.3">
      <c r="A139" s="696" t="s">
        <v>519</v>
      </c>
      <c r="B139" s="697" t="s">
        <v>1834</v>
      </c>
      <c r="C139" s="697" t="s">
        <v>1853</v>
      </c>
      <c r="D139" s="697" t="s">
        <v>1250</v>
      </c>
      <c r="E139" s="697" t="s">
        <v>1248</v>
      </c>
      <c r="F139" s="701"/>
      <c r="G139" s="701"/>
      <c r="H139" s="723">
        <v>0</v>
      </c>
      <c r="I139" s="701">
        <v>1</v>
      </c>
      <c r="J139" s="701">
        <v>163.66999999999999</v>
      </c>
      <c r="K139" s="723">
        <v>1</v>
      </c>
      <c r="L139" s="701">
        <v>1</v>
      </c>
      <c r="M139" s="702">
        <v>163.66999999999999</v>
      </c>
    </row>
    <row r="140" spans="1:13" ht="14.4" customHeight="1" x14ac:dyDescent="0.3">
      <c r="A140" s="696" t="s">
        <v>519</v>
      </c>
      <c r="B140" s="697" t="s">
        <v>1834</v>
      </c>
      <c r="C140" s="697" t="s">
        <v>1854</v>
      </c>
      <c r="D140" s="697" t="s">
        <v>1273</v>
      </c>
      <c r="E140" s="697" t="s">
        <v>1248</v>
      </c>
      <c r="F140" s="701"/>
      <c r="G140" s="701"/>
      <c r="H140" s="723">
        <v>0</v>
      </c>
      <c r="I140" s="701">
        <v>22</v>
      </c>
      <c r="J140" s="701">
        <v>2699.1800000000003</v>
      </c>
      <c r="K140" s="723">
        <v>1</v>
      </c>
      <c r="L140" s="701">
        <v>22</v>
      </c>
      <c r="M140" s="702">
        <v>2699.1800000000003</v>
      </c>
    </row>
    <row r="141" spans="1:13" ht="14.4" customHeight="1" x14ac:dyDescent="0.3">
      <c r="A141" s="696" t="s">
        <v>519</v>
      </c>
      <c r="B141" s="697" t="s">
        <v>1834</v>
      </c>
      <c r="C141" s="697" t="s">
        <v>1855</v>
      </c>
      <c r="D141" s="697" t="s">
        <v>1271</v>
      </c>
      <c r="E141" s="697" t="s">
        <v>1248</v>
      </c>
      <c r="F141" s="701"/>
      <c r="G141" s="701"/>
      <c r="H141" s="723">
        <v>0</v>
      </c>
      <c r="I141" s="701">
        <v>22</v>
      </c>
      <c r="J141" s="701">
        <v>2701.8599999999997</v>
      </c>
      <c r="K141" s="723">
        <v>1</v>
      </c>
      <c r="L141" s="701">
        <v>22</v>
      </c>
      <c r="M141" s="702">
        <v>2701.8599999999997</v>
      </c>
    </row>
    <row r="142" spans="1:13" ht="14.4" customHeight="1" x14ac:dyDescent="0.3">
      <c r="A142" s="696" t="s">
        <v>519</v>
      </c>
      <c r="B142" s="697" t="s">
        <v>1834</v>
      </c>
      <c r="C142" s="697" t="s">
        <v>1856</v>
      </c>
      <c r="D142" s="697" t="s">
        <v>1269</v>
      </c>
      <c r="E142" s="697" t="s">
        <v>1248</v>
      </c>
      <c r="F142" s="701"/>
      <c r="G142" s="701"/>
      <c r="H142" s="723">
        <v>0</v>
      </c>
      <c r="I142" s="701">
        <v>15</v>
      </c>
      <c r="J142" s="701">
        <v>1949.5500000000002</v>
      </c>
      <c r="K142" s="723">
        <v>1</v>
      </c>
      <c r="L142" s="701">
        <v>15</v>
      </c>
      <c r="M142" s="702">
        <v>1949.5500000000002</v>
      </c>
    </row>
    <row r="143" spans="1:13" ht="14.4" customHeight="1" x14ac:dyDescent="0.3">
      <c r="A143" s="696" t="s">
        <v>519</v>
      </c>
      <c r="B143" s="697" t="s">
        <v>1834</v>
      </c>
      <c r="C143" s="697" t="s">
        <v>1857</v>
      </c>
      <c r="D143" s="697" t="s">
        <v>1268</v>
      </c>
      <c r="E143" s="697" t="s">
        <v>1248</v>
      </c>
      <c r="F143" s="701"/>
      <c r="G143" s="701"/>
      <c r="H143" s="723">
        <v>0</v>
      </c>
      <c r="I143" s="701">
        <v>44</v>
      </c>
      <c r="J143" s="701">
        <v>5718.68</v>
      </c>
      <c r="K143" s="723">
        <v>1</v>
      </c>
      <c r="L143" s="701">
        <v>44</v>
      </c>
      <c r="M143" s="702">
        <v>5718.68</v>
      </c>
    </row>
    <row r="144" spans="1:13" ht="14.4" customHeight="1" x14ac:dyDescent="0.3">
      <c r="A144" s="696" t="s">
        <v>519</v>
      </c>
      <c r="B144" s="697" t="s">
        <v>1834</v>
      </c>
      <c r="C144" s="697" t="s">
        <v>1858</v>
      </c>
      <c r="D144" s="697" t="s">
        <v>1272</v>
      </c>
      <c r="E144" s="697" t="s">
        <v>1252</v>
      </c>
      <c r="F144" s="701"/>
      <c r="G144" s="701"/>
      <c r="H144" s="723">
        <v>0</v>
      </c>
      <c r="I144" s="701">
        <v>9</v>
      </c>
      <c r="J144" s="701">
        <v>276.02999999999997</v>
      </c>
      <c r="K144" s="723">
        <v>1</v>
      </c>
      <c r="L144" s="701">
        <v>9</v>
      </c>
      <c r="M144" s="702">
        <v>276.02999999999997</v>
      </c>
    </row>
    <row r="145" spans="1:13" ht="14.4" customHeight="1" thickBot="1" x14ac:dyDescent="0.35">
      <c r="A145" s="703" t="s">
        <v>519</v>
      </c>
      <c r="B145" s="704" t="s">
        <v>1834</v>
      </c>
      <c r="C145" s="704" t="s">
        <v>1859</v>
      </c>
      <c r="D145" s="704" t="s">
        <v>1270</v>
      </c>
      <c r="E145" s="704" t="s">
        <v>1252</v>
      </c>
      <c r="F145" s="708"/>
      <c r="G145" s="708"/>
      <c r="H145" s="716">
        <v>0</v>
      </c>
      <c r="I145" s="708">
        <v>32</v>
      </c>
      <c r="J145" s="708">
        <v>981.44000000000017</v>
      </c>
      <c r="K145" s="716">
        <v>1</v>
      </c>
      <c r="L145" s="708">
        <v>32</v>
      </c>
      <c r="M145" s="709">
        <v>981.44000000000017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79" customWidth="1"/>
    <col min="2" max="2" width="5.44140625" style="310" bestFit="1" customWidth="1"/>
    <col min="3" max="3" width="6.109375" style="310" bestFit="1" customWidth="1"/>
    <col min="4" max="4" width="7.44140625" style="310" bestFit="1" customWidth="1"/>
    <col min="5" max="5" width="6.21875" style="310" bestFit="1" customWidth="1"/>
    <col min="6" max="6" width="6.33203125" style="313" bestFit="1" customWidth="1"/>
    <col min="7" max="7" width="6.109375" style="313" bestFit="1" customWidth="1"/>
    <col min="8" max="8" width="7.44140625" style="313" bestFit="1" customWidth="1"/>
    <col min="9" max="9" width="6.21875" style="313" bestFit="1" customWidth="1"/>
    <col min="10" max="10" width="5.44140625" style="310" bestFit="1" customWidth="1"/>
    <col min="11" max="11" width="6.109375" style="310" bestFit="1" customWidth="1"/>
    <col min="12" max="12" width="7.44140625" style="310" bestFit="1" customWidth="1"/>
    <col min="13" max="13" width="6.21875" style="310" bestFit="1" customWidth="1"/>
    <col min="14" max="14" width="5.33203125" style="313" bestFit="1" customWidth="1"/>
    <col min="15" max="15" width="6.109375" style="313" bestFit="1" customWidth="1"/>
    <col min="16" max="16" width="7.44140625" style="313" bestFit="1" customWidth="1"/>
    <col min="17" max="17" width="6.21875" style="313" bestFit="1" customWidth="1"/>
    <col min="18" max="16384" width="8.88671875" style="231"/>
  </cols>
  <sheetData>
    <row r="1" spans="1:17" ht="18.600000000000001" customHeight="1" thickBot="1" x14ac:dyDescent="0.4">
      <c r="A1" s="521" t="s">
        <v>215</v>
      </c>
      <c r="B1" s="521"/>
      <c r="C1" s="521"/>
      <c r="D1" s="521"/>
      <c r="E1" s="521"/>
      <c r="F1" s="483"/>
      <c r="G1" s="483"/>
      <c r="H1" s="483"/>
      <c r="I1" s="483"/>
      <c r="J1" s="514"/>
      <c r="K1" s="514"/>
      <c r="L1" s="514"/>
      <c r="M1" s="514"/>
      <c r="N1" s="514"/>
      <c r="O1" s="514"/>
      <c r="P1" s="514"/>
      <c r="Q1" s="514"/>
    </row>
    <row r="2" spans="1:17" ht="14.4" customHeight="1" thickBot="1" x14ac:dyDescent="0.35">
      <c r="A2" s="348" t="s">
        <v>297</v>
      </c>
      <c r="B2" s="317"/>
      <c r="C2" s="317"/>
      <c r="D2" s="317"/>
      <c r="E2" s="317"/>
    </row>
    <row r="3" spans="1:17" ht="14.4" customHeight="1" thickBot="1" x14ac:dyDescent="0.35">
      <c r="A3" s="368" t="s">
        <v>3</v>
      </c>
      <c r="B3" s="372">
        <f>SUM(B6:B1048576)</f>
        <v>2961</v>
      </c>
      <c r="C3" s="373">
        <f>SUM(C6:C1048576)</f>
        <v>902</v>
      </c>
      <c r="D3" s="373">
        <f>SUM(D6:D1048576)</f>
        <v>1707</v>
      </c>
      <c r="E3" s="374">
        <f>SUM(E6:E1048576)</f>
        <v>0</v>
      </c>
      <c r="F3" s="371">
        <f>IF(SUM($B3:$E3)=0,"",B3/SUM($B3:$E3))</f>
        <v>0.5315978456014363</v>
      </c>
      <c r="G3" s="369">
        <f t="shared" ref="G3:I3" si="0">IF(SUM($B3:$E3)=0,"",C3/SUM($B3:$E3))</f>
        <v>0.16193895870736086</v>
      </c>
      <c r="H3" s="369">
        <f t="shared" si="0"/>
        <v>0.30646319569120289</v>
      </c>
      <c r="I3" s="370">
        <f t="shared" si="0"/>
        <v>0</v>
      </c>
      <c r="J3" s="373">
        <f>SUM(J6:J1048576)</f>
        <v>186</v>
      </c>
      <c r="K3" s="373">
        <f>SUM(K6:K1048576)</f>
        <v>362</v>
      </c>
      <c r="L3" s="373">
        <f>SUM(L6:L1048576)</f>
        <v>1707</v>
      </c>
      <c r="M3" s="374">
        <f>SUM(M6:M1048576)</f>
        <v>0</v>
      </c>
      <c r="N3" s="371">
        <f>IF(SUM($J3:$M3)=0,"",J3/SUM($J3:$M3))</f>
        <v>8.2483370288248342E-2</v>
      </c>
      <c r="O3" s="369">
        <f t="shared" ref="O3:Q3" si="1">IF(SUM($J3:$M3)=0,"",K3/SUM($J3:$M3))</f>
        <v>0.16053215077605321</v>
      </c>
      <c r="P3" s="369">
        <f t="shared" si="1"/>
        <v>0.75698447893569842</v>
      </c>
      <c r="Q3" s="370">
        <f t="shared" si="1"/>
        <v>0</v>
      </c>
    </row>
    <row r="4" spans="1:17" ht="14.4" customHeight="1" thickBot="1" x14ac:dyDescent="0.35">
      <c r="A4" s="367"/>
      <c r="B4" s="534" t="s">
        <v>217</v>
      </c>
      <c r="C4" s="535"/>
      <c r="D4" s="535"/>
      <c r="E4" s="536"/>
      <c r="F4" s="531" t="s">
        <v>222</v>
      </c>
      <c r="G4" s="532"/>
      <c r="H4" s="532"/>
      <c r="I4" s="533"/>
      <c r="J4" s="534" t="s">
        <v>223</v>
      </c>
      <c r="K4" s="535"/>
      <c r="L4" s="535"/>
      <c r="M4" s="536"/>
      <c r="N4" s="531" t="s">
        <v>224</v>
      </c>
      <c r="O4" s="532"/>
      <c r="P4" s="532"/>
      <c r="Q4" s="533"/>
    </row>
    <row r="5" spans="1:17" ht="14.4" customHeight="1" thickBot="1" x14ac:dyDescent="0.35">
      <c r="A5" s="733" t="s">
        <v>216</v>
      </c>
      <c r="B5" s="734" t="s">
        <v>218</v>
      </c>
      <c r="C5" s="734" t="s">
        <v>219</v>
      </c>
      <c r="D5" s="734" t="s">
        <v>220</v>
      </c>
      <c r="E5" s="735" t="s">
        <v>221</v>
      </c>
      <c r="F5" s="736" t="s">
        <v>218</v>
      </c>
      <c r="G5" s="737" t="s">
        <v>219</v>
      </c>
      <c r="H5" s="737" t="s">
        <v>220</v>
      </c>
      <c r="I5" s="738" t="s">
        <v>221</v>
      </c>
      <c r="J5" s="734" t="s">
        <v>218</v>
      </c>
      <c r="K5" s="734" t="s">
        <v>219</v>
      </c>
      <c r="L5" s="734" t="s">
        <v>220</v>
      </c>
      <c r="M5" s="735" t="s">
        <v>221</v>
      </c>
      <c r="N5" s="736" t="s">
        <v>218</v>
      </c>
      <c r="O5" s="737" t="s">
        <v>219</v>
      </c>
      <c r="P5" s="737" t="s">
        <v>220</v>
      </c>
      <c r="Q5" s="738" t="s">
        <v>221</v>
      </c>
    </row>
    <row r="6" spans="1:17" ht="14.4" customHeight="1" x14ac:dyDescent="0.3">
      <c r="A6" s="741" t="s">
        <v>1861</v>
      </c>
      <c r="B6" s="745"/>
      <c r="C6" s="694"/>
      <c r="D6" s="694"/>
      <c r="E6" s="695"/>
      <c r="F6" s="743"/>
      <c r="G6" s="715"/>
      <c r="H6" s="715"/>
      <c r="I6" s="747"/>
      <c r="J6" s="745"/>
      <c r="K6" s="694"/>
      <c r="L6" s="694"/>
      <c r="M6" s="695"/>
      <c r="N6" s="743"/>
      <c r="O6" s="715"/>
      <c r="P6" s="715"/>
      <c r="Q6" s="739"/>
    </row>
    <row r="7" spans="1:17" ht="14.4" customHeight="1" thickBot="1" x14ac:dyDescent="0.35">
      <c r="A7" s="742" t="s">
        <v>1862</v>
      </c>
      <c r="B7" s="746">
        <v>2961</v>
      </c>
      <c r="C7" s="708">
        <v>902</v>
      </c>
      <c r="D7" s="708">
        <v>1707</v>
      </c>
      <c r="E7" s="709"/>
      <c r="F7" s="744">
        <v>0.5315978456014363</v>
      </c>
      <c r="G7" s="716">
        <v>0.16193895870736086</v>
      </c>
      <c r="H7" s="716">
        <v>0.30646319569120289</v>
      </c>
      <c r="I7" s="748">
        <v>0</v>
      </c>
      <c r="J7" s="746">
        <v>186</v>
      </c>
      <c r="K7" s="708">
        <v>362</v>
      </c>
      <c r="L7" s="708">
        <v>1707</v>
      </c>
      <c r="M7" s="709"/>
      <c r="N7" s="744">
        <v>8.2483370288248342E-2</v>
      </c>
      <c r="O7" s="716">
        <v>0.16053215077605321</v>
      </c>
      <c r="P7" s="716">
        <v>0.75698447893569842</v>
      </c>
      <c r="Q7" s="74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158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297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354">
        <v>2015</v>
      </c>
      <c r="D3" s="355">
        <v>2017</v>
      </c>
      <c r="E3" s="11"/>
      <c r="F3" s="491">
        <v>2018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6" t="s">
        <v>505</v>
      </c>
      <c r="B5" s="677" t="s">
        <v>506</v>
      </c>
      <c r="C5" s="678" t="s">
        <v>507</v>
      </c>
      <c r="D5" s="678" t="s">
        <v>507</v>
      </c>
      <c r="E5" s="678"/>
      <c r="F5" s="678" t="s">
        <v>507</v>
      </c>
      <c r="G5" s="678" t="s">
        <v>507</v>
      </c>
      <c r="H5" s="678" t="s">
        <v>507</v>
      </c>
      <c r="I5" s="679" t="s">
        <v>507</v>
      </c>
      <c r="J5" s="680" t="s">
        <v>60</v>
      </c>
    </row>
    <row r="6" spans="1:10" ht="14.4" customHeight="1" x14ac:dyDescent="0.3">
      <c r="A6" s="676" t="s">
        <v>505</v>
      </c>
      <c r="B6" s="677" t="s">
        <v>1863</v>
      </c>
      <c r="C6" s="678">
        <v>578.27327000000002</v>
      </c>
      <c r="D6" s="678">
        <v>483.67181999999997</v>
      </c>
      <c r="E6" s="678"/>
      <c r="F6" s="678">
        <v>469.35456999999991</v>
      </c>
      <c r="G6" s="678">
        <v>500</v>
      </c>
      <c r="H6" s="678">
        <v>-30.64543000000009</v>
      </c>
      <c r="I6" s="679">
        <v>0.93870913999999983</v>
      </c>
      <c r="J6" s="680" t="s">
        <v>1</v>
      </c>
    </row>
    <row r="7" spans="1:10" ht="14.4" customHeight="1" x14ac:dyDescent="0.3">
      <c r="A7" s="676" t="s">
        <v>505</v>
      </c>
      <c r="B7" s="677" t="s">
        <v>1864</v>
      </c>
      <c r="C7" s="678">
        <v>0.24743999999999999</v>
      </c>
      <c r="D7" s="678">
        <v>0.76831000000000016</v>
      </c>
      <c r="E7" s="678"/>
      <c r="F7" s="678">
        <v>0.44218999999999997</v>
      </c>
      <c r="G7" s="678">
        <v>1</v>
      </c>
      <c r="H7" s="678">
        <v>-0.55781000000000003</v>
      </c>
      <c r="I7" s="679">
        <v>0.44218999999999997</v>
      </c>
      <c r="J7" s="680" t="s">
        <v>1</v>
      </c>
    </row>
    <row r="8" spans="1:10" ht="14.4" customHeight="1" x14ac:dyDescent="0.3">
      <c r="A8" s="676" t="s">
        <v>505</v>
      </c>
      <c r="B8" s="677" t="s">
        <v>1865</v>
      </c>
      <c r="C8" s="678">
        <v>390.4767599999999</v>
      </c>
      <c r="D8" s="678">
        <v>423.44695000000002</v>
      </c>
      <c r="E8" s="678"/>
      <c r="F8" s="678">
        <v>500.16010999999986</v>
      </c>
      <c r="G8" s="678">
        <v>500</v>
      </c>
      <c r="H8" s="678">
        <v>0.16010999999986097</v>
      </c>
      <c r="I8" s="679">
        <v>1.0003202199999996</v>
      </c>
      <c r="J8" s="680" t="s">
        <v>1</v>
      </c>
    </row>
    <row r="9" spans="1:10" ht="14.4" customHeight="1" x14ac:dyDescent="0.3">
      <c r="A9" s="676" t="s">
        <v>505</v>
      </c>
      <c r="B9" s="677" t="s">
        <v>1866</v>
      </c>
      <c r="C9" s="678">
        <v>2071.8252699999989</v>
      </c>
      <c r="D9" s="678">
        <v>2648.7423399999998</v>
      </c>
      <c r="E9" s="678"/>
      <c r="F9" s="678">
        <v>2819.4980399999999</v>
      </c>
      <c r="G9" s="678">
        <v>2750</v>
      </c>
      <c r="H9" s="678">
        <v>69.498039999999946</v>
      </c>
      <c r="I9" s="679">
        <v>1.0252720145454546</v>
      </c>
      <c r="J9" s="680" t="s">
        <v>1</v>
      </c>
    </row>
    <row r="10" spans="1:10" ht="14.4" customHeight="1" x14ac:dyDescent="0.3">
      <c r="A10" s="676" t="s">
        <v>505</v>
      </c>
      <c r="B10" s="677" t="s">
        <v>1867</v>
      </c>
      <c r="C10" s="678">
        <v>116.51282</v>
      </c>
      <c r="D10" s="678">
        <v>187.33112</v>
      </c>
      <c r="E10" s="678"/>
      <c r="F10" s="678">
        <v>143.65316999999999</v>
      </c>
      <c r="G10" s="678">
        <v>200</v>
      </c>
      <c r="H10" s="678">
        <v>-56.346830000000011</v>
      </c>
      <c r="I10" s="679">
        <v>0.71826584999999998</v>
      </c>
      <c r="J10" s="680" t="s">
        <v>1</v>
      </c>
    </row>
    <row r="11" spans="1:10" ht="14.4" customHeight="1" x14ac:dyDescent="0.3">
      <c r="A11" s="676" t="s">
        <v>505</v>
      </c>
      <c r="B11" s="677" t="s">
        <v>1868</v>
      </c>
      <c r="C11" s="678">
        <v>17.433130000000002</v>
      </c>
      <c r="D11" s="678">
        <v>20.584780000000006</v>
      </c>
      <c r="E11" s="678"/>
      <c r="F11" s="678">
        <v>16.133610000000001</v>
      </c>
      <c r="G11" s="678">
        <v>20</v>
      </c>
      <c r="H11" s="678">
        <v>-3.8663899999999991</v>
      </c>
      <c r="I11" s="679">
        <v>0.80668050000000002</v>
      </c>
      <c r="J11" s="680" t="s">
        <v>1</v>
      </c>
    </row>
    <row r="12" spans="1:10" ht="14.4" customHeight="1" x14ac:dyDescent="0.3">
      <c r="A12" s="676" t="s">
        <v>505</v>
      </c>
      <c r="B12" s="677" t="s">
        <v>1869</v>
      </c>
      <c r="C12" s="678">
        <v>29.179570000000002</v>
      </c>
      <c r="D12" s="678">
        <v>26.305239999999998</v>
      </c>
      <c r="E12" s="678"/>
      <c r="F12" s="678">
        <v>29.267720000000001</v>
      </c>
      <c r="G12" s="678">
        <v>40</v>
      </c>
      <c r="H12" s="678">
        <v>-10.732279999999999</v>
      </c>
      <c r="I12" s="679">
        <v>0.73169300000000004</v>
      </c>
      <c r="J12" s="680" t="s">
        <v>1</v>
      </c>
    </row>
    <row r="13" spans="1:10" ht="14.4" customHeight="1" x14ac:dyDescent="0.3">
      <c r="A13" s="676" t="s">
        <v>505</v>
      </c>
      <c r="B13" s="677" t="s">
        <v>1870</v>
      </c>
      <c r="C13" s="678">
        <v>190.00629000000001</v>
      </c>
      <c r="D13" s="678">
        <v>225.77780000000001</v>
      </c>
      <c r="E13" s="678"/>
      <c r="F13" s="678">
        <v>220.77875000000003</v>
      </c>
      <c r="G13" s="678">
        <v>276</v>
      </c>
      <c r="H13" s="678">
        <v>-55.221249999999969</v>
      </c>
      <c r="I13" s="679">
        <v>0.79992300724637688</v>
      </c>
      <c r="J13" s="680" t="s">
        <v>1</v>
      </c>
    </row>
    <row r="14" spans="1:10" ht="14.4" customHeight="1" x14ac:dyDescent="0.3">
      <c r="A14" s="676" t="s">
        <v>505</v>
      </c>
      <c r="B14" s="677" t="s">
        <v>1871</v>
      </c>
      <c r="C14" s="678">
        <v>160.16391000000002</v>
      </c>
      <c r="D14" s="678">
        <v>181.68794</v>
      </c>
      <c r="E14" s="678"/>
      <c r="F14" s="678">
        <v>189.83266</v>
      </c>
      <c r="G14" s="678">
        <v>194</v>
      </c>
      <c r="H14" s="678">
        <v>-4.1673399999999958</v>
      </c>
      <c r="I14" s="679">
        <v>0.97851886597938142</v>
      </c>
      <c r="J14" s="680" t="s">
        <v>1</v>
      </c>
    </row>
    <row r="15" spans="1:10" ht="14.4" customHeight="1" x14ac:dyDescent="0.3">
      <c r="A15" s="676" t="s">
        <v>505</v>
      </c>
      <c r="B15" s="677" t="s">
        <v>1872</v>
      </c>
      <c r="C15" s="678">
        <v>190.39202999999998</v>
      </c>
      <c r="D15" s="678">
        <v>212.30968000000001</v>
      </c>
      <c r="E15" s="678"/>
      <c r="F15" s="678">
        <v>240.64797000000007</v>
      </c>
      <c r="G15" s="678">
        <v>250</v>
      </c>
      <c r="H15" s="678">
        <v>-9.3520299999999281</v>
      </c>
      <c r="I15" s="679">
        <v>0.96259188000000029</v>
      </c>
      <c r="J15" s="680" t="s">
        <v>1</v>
      </c>
    </row>
    <row r="16" spans="1:10" ht="14.4" customHeight="1" x14ac:dyDescent="0.3">
      <c r="A16" s="676" t="s">
        <v>505</v>
      </c>
      <c r="B16" s="677" t="s">
        <v>1873</v>
      </c>
      <c r="C16" s="678">
        <v>0</v>
      </c>
      <c r="D16" s="678">
        <v>0</v>
      </c>
      <c r="E16" s="678"/>
      <c r="F16" s="678">
        <v>37.987180000000002</v>
      </c>
      <c r="G16" s="678">
        <v>16</v>
      </c>
      <c r="H16" s="678">
        <v>21.987180000000002</v>
      </c>
      <c r="I16" s="679">
        <v>2.3741987500000001</v>
      </c>
      <c r="J16" s="680" t="s">
        <v>1</v>
      </c>
    </row>
    <row r="17" spans="1:10" ht="14.4" customHeight="1" x14ac:dyDescent="0.3">
      <c r="A17" s="676" t="s">
        <v>505</v>
      </c>
      <c r="B17" s="677" t="s">
        <v>1874</v>
      </c>
      <c r="C17" s="678">
        <v>3.4190299999999998</v>
      </c>
      <c r="D17" s="678">
        <v>0.37239999999999995</v>
      </c>
      <c r="E17" s="678"/>
      <c r="F17" s="678">
        <v>0</v>
      </c>
      <c r="G17" s="678">
        <v>0.37919076538085938</v>
      </c>
      <c r="H17" s="678">
        <v>-0.37919076538085938</v>
      </c>
      <c r="I17" s="679">
        <v>0</v>
      </c>
      <c r="J17" s="680" t="s">
        <v>1</v>
      </c>
    </row>
    <row r="18" spans="1:10" ht="14.4" customHeight="1" x14ac:dyDescent="0.3">
      <c r="A18" s="676" t="s">
        <v>505</v>
      </c>
      <c r="B18" s="677" t="s">
        <v>517</v>
      </c>
      <c r="C18" s="678">
        <v>3747.9295199999983</v>
      </c>
      <c r="D18" s="678">
        <v>4410.99838</v>
      </c>
      <c r="E18" s="678"/>
      <c r="F18" s="678">
        <v>4667.7559699999993</v>
      </c>
      <c r="G18" s="678">
        <v>4747.3791907653813</v>
      </c>
      <c r="H18" s="678">
        <v>-79.62322076538203</v>
      </c>
      <c r="I18" s="679">
        <v>0.98322796272093338</v>
      </c>
      <c r="J18" s="680" t="s">
        <v>518</v>
      </c>
    </row>
    <row r="20" spans="1:10" ht="14.4" customHeight="1" x14ac:dyDescent="0.3">
      <c r="A20" s="676" t="s">
        <v>505</v>
      </c>
      <c r="B20" s="677" t="s">
        <v>506</v>
      </c>
      <c r="C20" s="678" t="s">
        <v>507</v>
      </c>
      <c r="D20" s="678" t="s">
        <v>507</v>
      </c>
      <c r="E20" s="678"/>
      <c r="F20" s="678" t="s">
        <v>507</v>
      </c>
      <c r="G20" s="678" t="s">
        <v>507</v>
      </c>
      <c r="H20" s="678" t="s">
        <v>507</v>
      </c>
      <c r="I20" s="679" t="s">
        <v>507</v>
      </c>
      <c r="J20" s="680" t="s">
        <v>60</v>
      </c>
    </row>
    <row r="21" spans="1:10" ht="14.4" customHeight="1" x14ac:dyDescent="0.3">
      <c r="A21" s="676" t="s">
        <v>519</v>
      </c>
      <c r="B21" s="677" t="s">
        <v>520</v>
      </c>
      <c r="C21" s="678" t="s">
        <v>507</v>
      </c>
      <c r="D21" s="678" t="s">
        <v>507</v>
      </c>
      <c r="E21" s="678"/>
      <c r="F21" s="678" t="s">
        <v>507</v>
      </c>
      <c r="G21" s="678" t="s">
        <v>507</v>
      </c>
      <c r="H21" s="678" t="s">
        <v>507</v>
      </c>
      <c r="I21" s="679" t="s">
        <v>507</v>
      </c>
      <c r="J21" s="680" t="s">
        <v>0</v>
      </c>
    </row>
    <row r="22" spans="1:10" ht="14.4" customHeight="1" x14ac:dyDescent="0.3">
      <c r="A22" s="676" t="s">
        <v>519</v>
      </c>
      <c r="B22" s="677" t="s">
        <v>1863</v>
      </c>
      <c r="C22" s="678">
        <v>578.27327000000002</v>
      </c>
      <c r="D22" s="678">
        <v>483.67181999999997</v>
      </c>
      <c r="E22" s="678"/>
      <c r="F22" s="678">
        <v>469.35456999999991</v>
      </c>
      <c r="G22" s="678">
        <v>500</v>
      </c>
      <c r="H22" s="678">
        <v>-30.64543000000009</v>
      </c>
      <c r="I22" s="679">
        <v>0.93870913999999983</v>
      </c>
      <c r="J22" s="680" t="s">
        <v>1</v>
      </c>
    </row>
    <row r="23" spans="1:10" ht="14.4" customHeight="1" x14ac:dyDescent="0.3">
      <c r="A23" s="676" t="s">
        <v>519</v>
      </c>
      <c r="B23" s="677" t="s">
        <v>1864</v>
      </c>
      <c r="C23" s="678">
        <v>0.24743999999999999</v>
      </c>
      <c r="D23" s="678">
        <v>0.76831000000000016</v>
      </c>
      <c r="E23" s="678"/>
      <c r="F23" s="678">
        <v>0.44218999999999997</v>
      </c>
      <c r="G23" s="678">
        <v>1</v>
      </c>
      <c r="H23" s="678">
        <v>-0.55781000000000003</v>
      </c>
      <c r="I23" s="679">
        <v>0.44218999999999997</v>
      </c>
      <c r="J23" s="680" t="s">
        <v>1</v>
      </c>
    </row>
    <row r="24" spans="1:10" ht="14.4" customHeight="1" x14ac:dyDescent="0.3">
      <c r="A24" s="676" t="s">
        <v>519</v>
      </c>
      <c r="B24" s="677" t="s">
        <v>1865</v>
      </c>
      <c r="C24" s="678">
        <v>390.4767599999999</v>
      </c>
      <c r="D24" s="678">
        <v>423.44695000000002</v>
      </c>
      <c r="E24" s="678"/>
      <c r="F24" s="678">
        <v>500.16010999999986</v>
      </c>
      <c r="G24" s="678">
        <v>500</v>
      </c>
      <c r="H24" s="678">
        <v>0.16010999999986097</v>
      </c>
      <c r="I24" s="679">
        <v>1.0003202199999996</v>
      </c>
      <c r="J24" s="680" t="s">
        <v>1</v>
      </c>
    </row>
    <row r="25" spans="1:10" ht="14.4" customHeight="1" x14ac:dyDescent="0.3">
      <c r="A25" s="676" t="s">
        <v>519</v>
      </c>
      <c r="B25" s="677" t="s">
        <v>1866</v>
      </c>
      <c r="C25" s="678">
        <v>2071.8252699999989</v>
      </c>
      <c r="D25" s="678">
        <v>2648.7423399999998</v>
      </c>
      <c r="E25" s="678"/>
      <c r="F25" s="678">
        <v>2819.4980399999999</v>
      </c>
      <c r="G25" s="678">
        <v>2750</v>
      </c>
      <c r="H25" s="678">
        <v>69.498039999999946</v>
      </c>
      <c r="I25" s="679">
        <v>1.0252720145454546</v>
      </c>
      <c r="J25" s="680" t="s">
        <v>1</v>
      </c>
    </row>
    <row r="26" spans="1:10" ht="14.4" customHeight="1" x14ac:dyDescent="0.3">
      <c r="A26" s="676" t="s">
        <v>519</v>
      </c>
      <c r="B26" s="677" t="s">
        <v>1867</v>
      </c>
      <c r="C26" s="678">
        <v>116.51282</v>
      </c>
      <c r="D26" s="678">
        <v>187.33112</v>
      </c>
      <c r="E26" s="678"/>
      <c r="F26" s="678">
        <v>143.65316999999999</v>
      </c>
      <c r="G26" s="678">
        <v>200</v>
      </c>
      <c r="H26" s="678">
        <v>-56.346830000000011</v>
      </c>
      <c r="I26" s="679">
        <v>0.71826584999999998</v>
      </c>
      <c r="J26" s="680" t="s">
        <v>1</v>
      </c>
    </row>
    <row r="27" spans="1:10" ht="14.4" customHeight="1" x14ac:dyDescent="0.3">
      <c r="A27" s="676" t="s">
        <v>519</v>
      </c>
      <c r="B27" s="677" t="s">
        <v>1868</v>
      </c>
      <c r="C27" s="678">
        <v>17.433130000000002</v>
      </c>
      <c r="D27" s="678">
        <v>20.584780000000006</v>
      </c>
      <c r="E27" s="678"/>
      <c r="F27" s="678">
        <v>16.133610000000001</v>
      </c>
      <c r="G27" s="678">
        <v>20</v>
      </c>
      <c r="H27" s="678">
        <v>-3.8663899999999991</v>
      </c>
      <c r="I27" s="679">
        <v>0.80668050000000002</v>
      </c>
      <c r="J27" s="680" t="s">
        <v>1</v>
      </c>
    </row>
    <row r="28" spans="1:10" ht="14.4" customHeight="1" x14ac:dyDescent="0.3">
      <c r="A28" s="676" t="s">
        <v>519</v>
      </c>
      <c r="B28" s="677" t="s">
        <v>1869</v>
      </c>
      <c r="C28" s="678">
        <v>29.179570000000002</v>
      </c>
      <c r="D28" s="678">
        <v>26.305239999999998</v>
      </c>
      <c r="E28" s="678"/>
      <c r="F28" s="678">
        <v>29.267720000000001</v>
      </c>
      <c r="G28" s="678">
        <v>40</v>
      </c>
      <c r="H28" s="678">
        <v>-10.732279999999999</v>
      </c>
      <c r="I28" s="679">
        <v>0.73169300000000004</v>
      </c>
      <c r="J28" s="680" t="s">
        <v>1</v>
      </c>
    </row>
    <row r="29" spans="1:10" ht="14.4" customHeight="1" x14ac:dyDescent="0.3">
      <c r="A29" s="676" t="s">
        <v>519</v>
      </c>
      <c r="B29" s="677" t="s">
        <v>1870</v>
      </c>
      <c r="C29" s="678">
        <v>190.00629000000001</v>
      </c>
      <c r="D29" s="678">
        <v>225.77780000000001</v>
      </c>
      <c r="E29" s="678"/>
      <c r="F29" s="678">
        <v>220.77875000000003</v>
      </c>
      <c r="G29" s="678">
        <v>276</v>
      </c>
      <c r="H29" s="678">
        <v>-55.221249999999969</v>
      </c>
      <c r="I29" s="679">
        <v>0.79992300724637688</v>
      </c>
      <c r="J29" s="680" t="s">
        <v>1</v>
      </c>
    </row>
    <row r="30" spans="1:10" ht="14.4" customHeight="1" x14ac:dyDescent="0.3">
      <c r="A30" s="676" t="s">
        <v>519</v>
      </c>
      <c r="B30" s="677" t="s">
        <v>1871</v>
      </c>
      <c r="C30" s="678">
        <v>160.16391000000002</v>
      </c>
      <c r="D30" s="678">
        <v>181.68794</v>
      </c>
      <c r="E30" s="678"/>
      <c r="F30" s="678">
        <v>189.83266</v>
      </c>
      <c r="G30" s="678">
        <v>194</v>
      </c>
      <c r="H30" s="678">
        <v>-4.1673399999999958</v>
      </c>
      <c r="I30" s="679">
        <v>0.97851886597938142</v>
      </c>
      <c r="J30" s="680" t="s">
        <v>1</v>
      </c>
    </row>
    <row r="31" spans="1:10" ht="14.4" customHeight="1" x14ac:dyDescent="0.3">
      <c r="A31" s="676" t="s">
        <v>519</v>
      </c>
      <c r="B31" s="677" t="s">
        <v>1872</v>
      </c>
      <c r="C31" s="678">
        <v>190.39202999999998</v>
      </c>
      <c r="D31" s="678">
        <v>212.30968000000001</v>
      </c>
      <c r="E31" s="678"/>
      <c r="F31" s="678">
        <v>240.64797000000007</v>
      </c>
      <c r="G31" s="678">
        <v>250</v>
      </c>
      <c r="H31" s="678">
        <v>-9.3520299999999281</v>
      </c>
      <c r="I31" s="679">
        <v>0.96259188000000029</v>
      </c>
      <c r="J31" s="680" t="s">
        <v>1</v>
      </c>
    </row>
    <row r="32" spans="1:10" ht="14.4" customHeight="1" x14ac:dyDescent="0.3">
      <c r="A32" s="676" t="s">
        <v>519</v>
      </c>
      <c r="B32" s="677" t="s">
        <v>1873</v>
      </c>
      <c r="C32" s="678">
        <v>0</v>
      </c>
      <c r="D32" s="678">
        <v>0</v>
      </c>
      <c r="E32" s="678"/>
      <c r="F32" s="678">
        <v>37.987180000000002</v>
      </c>
      <c r="G32" s="678">
        <v>16</v>
      </c>
      <c r="H32" s="678">
        <v>21.987180000000002</v>
      </c>
      <c r="I32" s="679">
        <v>2.3741987500000001</v>
      </c>
      <c r="J32" s="680" t="s">
        <v>1</v>
      </c>
    </row>
    <row r="33" spans="1:10" ht="14.4" customHeight="1" x14ac:dyDescent="0.3">
      <c r="A33" s="676" t="s">
        <v>519</v>
      </c>
      <c r="B33" s="677" t="s">
        <v>1874</v>
      </c>
      <c r="C33" s="678">
        <v>3.4190299999999998</v>
      </c>
      <c r="D33" s="678">
        <v>0.37239999999999995</v>
      </c>
      <c r="E33" s="678"/>
      <c r="F33" s="678">
        <v>0</v>
      </c>
      <c r="G33" s="678">
        <v>0</v>
      </c>
      <c r="H33" s="678">
        <v>0</v>
      </c>
      <c r="I33" s="679" t="s">
        <v>507</v>
      </c>
      <c r="J33" s="680" t="s">
        <v>1</v>
      </c>
    </row>
    <row r="34" spans="1:10" ht="14.4" customHeight="1" x14ac:dyDescent="0.3">
      <c r="A34" s="676" t="s">
        <v>519</v>
      </c>
      <c r="B34" s="677" t="s">
        <v>521</v>
      </c>
      <c r="C34" s="678">
        <v>3747.9295199999983</v>
      </c>
      <c r="D34" s="678">
        <v>4410.99838</v>
      </c>
      <c r="E34" s="678"/>
      <c r="F34" s="678">
        <v>4667.7559699999993</v>
      </c>
      <c r="G34" s="678">
        <v>4747</v>
      </c>
      <c r="H34" s="678">
        <v>-79.244030000000748</v>
      </c>
      <c r="I34" s="679">
        <v>0.98330650305456058</v>
      </c>
      <c r="J34" s="680" t="s">
        <v>522</v>
      </c>
    </row>
    <row r="35" spans="1:10" ht="14.4" customHeight="1" x14ac:dyDescent="0.3">
      <c r="A35" s="676" t="s">
        <v>507</v>
      </c>
      <c r="B35" s="677" t="s">
        <v>507</v>
      </c>
      <c r="C35" s="678" t="s">
        <v>507</v>
      </c>
      <c r="D35" s="678" t="s">
        <v>507</v>
      </c>
      <c r="E35" s="678"/>
      <c r="F35" s="678" t="s">
        <v>507</v>
      </c>
      <c r="G35" s="678" t="s">
        <v>507</v>
      </c>
      <c r="H35" s="678" t="s">
        <v>507</v>
      </c>
      <c r="I35" s="679" t="s">
        <v>507</v>
      </c>
      <c r="J35" s="680" t="s">
        <v>523</v>
      </c>
    </row>
    <row r="36" spans="1:10" ht="14.4" customHeight="1" x14ac:dyDescent="0.3">
      <c r="A36" s="676" t="s">
        <v>505</v>
      </c>
      <c r="B36" s="677" t="s">
        <v>517</v>
      </c>
      <c r="C36" s="678">
        <v>3747.9295199999983</v>
      </c>
      <c r="D36" s="678">
        <v>4410.99838</v>
      </c>
      <c r="E36" s="678"/>
      <c r="F36" s="678">
        <v>4667.7559699999993</v>
      </c>
      <c r="G36" s="678">
        <v>4747</v>
      </c>
      <c r="H36" s="678">
        <v>-79.244030000000748</v>
      </c>
      <c r="I36" s="679">
        <v>0.98330650305456058</v>
      </c>
      <c r="J36" s="680" t="s">
        <v>518</v>
      </c>
    </row>
  </sheetData>
  <mergeCells count="3">
    <mergeCell ref="A1:I1"/>
    <mergeCell ref="F3:I3"/>
    <mergeCell ref="C4:D4"/>
  </mergeCells>
  <conditionalFormatting sqref="F19 F37:F65537">
    <cfRule type="cellIs" dxfId="40" priority="18" stopIfTrue="1" operator="greaterThan">
      <formula>1</formula>
    </cfRule>
  </conditionalFormatting>
  <conditionalFormatting sqref="H5:H18">
    <cfRule type="expression" dxfId="39" priority="14">
      <formula>$H5&gt;0</formula>
    </cfRule>
  </conditionalFormatting>
  <conditionalFormatting sqref="I5:I18">
    <cfRule type="expression" dxfId="38" priority="15">
      <formula>$I5&gt;1</formula>
    </cfRule>
  </conditionalFormatting>
  <conditionalFormatting sqref="B5:B18">
    <cfRule type="expression" dxfId="37" priority="11">
      <formula>OR($J5="NS",$J5="SumaNS",$J5="Účet")</formula>
    </cfRule>
  </conditionalFormatting>
  <conditionalFormatting sqref="F5:I18 B5:D18">
    <cfRule type="expression" dxfId="36" priority="17">
      <formula>AND($J5&lt;&gt;"",$J5&lt;&gt;"mezeraKL")</formula>
    </cfRule>
  </conditionalFormatting>
  <conditionalFormatting sqref="B5:D18 F5:I18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4" priority="13">
      <formula>OR($J5="SumaNS",$J5="NS")</formula>
    </cfRule>
  </conditionalFormatting>
  <conditionalFormatting sqref="A5:A18">
    <cfRule type="expression" dxfId="33" priority="9">
      <formula>AND($J5&lt;&gt;"mezeraKL",$J5&lt;&gt;"")</formula>
    </cfRule>
  </conditionalFormatting>
  <conditionalFormatting sqref="A5:A18">
    <cfRule type="expression" dxfId="32" priority="10">
      <formula>AND($J5&lt;&gt;"",$J5&lt;&gt;"mezeraKL")</formula>
    </cfRule>
  </conditionalFormatting>
  <conditionalFormatting sqref="H20:H36">
    <cfRule type="expression" dxfId="31" priority="6">
      <formula>$H20&gt;0</formula>
    </cfRule>
  </conditionalFormatting>
  <conditionalFormatting sqref="A20:A36">
    <cfRule type="expression" dxfId="30" priority="5">
      <formula>AND($J20&lt;&gt;"mezeraKL",$J20&lt;&gt;"")</formula>
    </cfRule>
  </conditionalFormatting>
  <conditionalFormatting sqref="I20:I36">
    <cfRule type="expression" dxfId="29" priority="7">
      <formula>$I20&gt;1</formula>
    </cfRule>
  </conditionalFormatting>
  <conditionalFormatting sqref="B20:B36">
    <cfRule type="expression" dxfId="28" priority="4">
      <formula>OR($J20="NS",$J20="SumaNS",$J20="Účet")</formula>
    </cfRule>
  </conditionalFormatting>
  <conditionalFormatting sqref="A20:D36 F20:I36">
    <cfRule type="expression" dxfId="27" priority="8">
      <formula>AND($J20&lt;&gt;"",$J20&lt;&gt;"mezeraKL")</formula>
    </cfRule>
  </conditionalFormatting>
  <conditionalFormatting sqref="B20:D36 F20:I36">
    <cfRule type="expression" dxfId="26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36 F20:I36">
    <cfRule type="expression" dxfId="25" priority="2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312" bestFit="1" customWidth="1"/>
    <col min="6" max="6" width="18.77734375" style="316" customWidth="1"/>
    <col min="7" max="7" width="12.44140625" style="312" hidden="1" customWidth="1" outlineLevel="1"/>
    <col min="8" max="8" width="25.77734375" style="312" customWidth="1" collapsed="1"/>
    <col min="9" max="9" width="7.77734375" style="310" customWidth="1"/>
    <col min="10" max="10" width="10" style="310" customWidth="1"/>
    <col min="11" max="11" width="11.109375" style="310" customWidth="1"/>
    <col min="12" max="16384" width="8.88671875" style="231"/>
  </cols>
  <sheetData>
    <row r="1" spans="1:11" ht="18.600000000000001" customHeight="1" thickBot="1" x14ac:dyDescent="0.4">
      <c r="A1" s="519" t="s">
        <v>2680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ht="14.4" customHeight="1" thickBot="1" x14ac:dyDescent="0.35">
      <c r="A2" s="348" t="s">
        <v>297</v>
      </c>
      <c r="B2" s="66"/>
      <c r="C2" s="314"/>
      <c r="D2" s="314"/>
      <c r="E2" s="314"/>
      <c r="F2" s="314"/>
      <c r="G2" s="314"/>
      <c r="H2" s="314"/>
      <c r="I2" s="315"/>
      <c r="J2" s="315"/>
      <c r="K2" s="315"/>
    </row>
    <row r="3" spans="1:11" ht="14.4" customHeight="1" thickBot="1" x14ac:dyDescent="0.35">
      <c r="A3" s="66"/>
      <c r="B3" s="66"/>
      <c r="C3" s="515"/>
      <c r="D3" s="516"/>
      <c r="E3" s="516"/>
      <c r="F3" s="516"/>
      <c r="G3" s="516"/>
      <c r="H3" s="244" t="s">
        <v>141</v>
      </c>
      <c r="I3" s="188">
        <f>IF(J3&lt;&gt;0,K3/J3,0)</f>
        <v>6.0711996457077886</v>
      </c>
      <c r="J3" s="188">
        <f>SUBTOTAL(9,J5:J1048576)</f>
        <v>768086.25</v>
      </c>
      <c r="K3" s="189">
        <f>SUBTOTAL(9,K5:K1048576)</f>
        <v>4663204.968873024</v>
      </c>
    </row>
    <row r="4" spans="1:11" s="311" customFormat="1" ht="14.4" customHeight="1" thickBot="1" x14ac:dyDescent="0.35">
      <c r="A4" s="681" t="s">
        <v>4</v>
      </c>
      <c r="B4" s="682" t="s">
        <v>5</v>
      </c>
      <c r="C4" s="682" t="s">
        <v>0</v>
      </c>
      <c r="D4" s="682" t="s">
        <v>6</v>
      </c>
      <c r="E4" s="682" t="s">
        <v>7</v>
      </c>
      <c r="F4" s="682" t="s">
        <v>1</v>
      </c>
      <c r="G4" s="682" t="s">
        <v>76</v>
      </c>
      <c r="H4" s="684" t="s">
        <v>11</v>
      </c>
      <c r="I4" s="685" t="s">
        <v>164</v>
      </c>
      <c r="J4" s="685" t="s">
        <v>13</v>
      </c>
      <c r="K4" s="686" t="s">
        <v>175</v>
      </c>
    </row>
    <row r="5" spans="1:11" ht="14.4" customHeight="1" x14ac:dyDescent="0.3">
      <c r="A5" s="689" t="s">
        <v>505</v>
      </c>
      <c r="B5" s="690" t="s">
        <v>506</v>
      </c>
      <c r="C5" s="691" t="s">
        <v>519</v>
      </c>
      <c r="D5" s="692" t="s">
        <v>520</v>
      </c>
      <c r="E5" s="691" t="s">
        <v>1875</v>
      </c>
      <c r="F5" s="692" t="s">
        <v>1876</v>
      </c>
      <c r="G5" s="691" t="s">
        <v>1877</v>
      </c>
      <c r="H5" s="691" t="s">
        <v>1878</v>
      </c>
      <c r="I5" s="694">
        <v>145.19999694824219</v>
      </c>
      <c r="J5" s="694">
        <v>24</v>
      </c>
      <c r="K5" s="695">
        <v>3484.800048828125</v>
      </c>
    </row>
    <row r="6" spans="1:11" ht="14.4" customHeight="1" x14ac:dyDescent="0.3">
      <c r="A6" s="696" t="s">
        <v>505</v>
      </c>
      <c r="B6" s="697" t="s">
        <v>506</v>
      </c>
      <c r="C6" s="698" t="s">
        <v>519</v>
      </c>
      <c r="D6" s="699" t="s">
        <v>520</v>
      </c>
      <c r="E6" s="698" t="s">
        <v>1875</v>
      </c>
      <c r="F6" s="699" t="s">
        <v>1876</v>
      </c>
      <c r="G6" s="698" t="s">
        <v>1879</v>
      </c>
      <c r="H6" s="698" t="s">
        <v>1880</v>
      </c>
      <c r="I6" s="701">
        <v>5445</v>
      </c>
      <c r="J6" s="701">
        <v>4</v>
      </c>
      <c r="K6" s="702">
        <v>21780</v>
      </c>
    </row>
    <row r="7" spans="1:11" ht="14.4" customHeight="1" x14ac:dyDescent="0.3">
      <c r="A7" s="696" t="s">
        <v>505</v>
      </c>
      <c r="B7" s="697" t="s">
        <v>506</v>
      </c>
      <c r="C7" s="698" t="s">
        <v>519</v>
      </c>
      <c r="D7" s="699" t="s">
        <v>520</v>
      </c>
      <c r="E7" s="698" t="s">
        <v>1875</v>
      </c>
      <c r="F7" s="699" t="s">
        <v>1876</v>
      </c>
      <c r="G7" s="698" t="s">
        <v>1881</v>
      </c>
      <c r="H7" s="698" t="s">
        <v>1882</v>
      </c>
      <c r="I7" s="701">
        <v>5445</v>
      </c>
      <c r="J7" s="701">
        <v>4</v>
      </c>
      <c r="K7" s="702">
        <v>21780</v>
      </c>
    </row>
    <row r="8" spans="1:11" ht="14.4" customHeight="1" x14ac:dyDescent="0.3">
      <c r="A8" s="696" t="s">
        <v>505</v>
      </c>
      <c r="B8" s="697" t="s">
        <v>506</v>
      </c>
      <c r="C8" s="698" t="s">
        <v>519</v>
      </c>
      <c r="D8" s="699" t="s">
        <v>520</v>
      </c>
      <c r="E8" s="698" t="s">
        <v>1875</v>
      </c>
      <c r="F8" s="699" t="s">
        <v>1876</v>
      </c>
      <c r="G8" s="698" t="s">
        <v>1883</v>
      </c>
      <c r="H8" s="698" t="s">
        <v>1884</v>
      </c>
      <c r="I8" s="701">
        <v>5445</v>
      </c>
      <c r="J8" s="701">
        <v>4</v>
      </c>
      <c r="K8" s="702">
        <v>21780</v>
      </c>
    </row>
    <row r="9" spans="1:11" ht="14.4" customHeight="1" x14ac:dyDescent="0.3">
      <c r="A9" s="696" t="s">
        <v>505</v>
      </c>
      <c r="B9" s="697" t="s">
        <v>506</v>
      </c>
      <c r="C9" s="698" t="s">
        <v>519</v>
      </c>
      <c r="D9" s="699" t="s">
        <v>520</v>
      </c>
      <c r="E9" s="698" t="s">
        <v>1875</v>
      </c>
      <c r="F9" s="699" t="s">
        <v>1876</v>
      </c>
      <c r="G9" s="698" t="s">
        <v>1885</v>
      </c>
      <c r="H9" s="698" t="s">
        <v>1886</v>
      </c>
      <c r="I9" s="701">
        <v>5445</v>
      </c>
      <c r="J9" s="701">
        <v>3</v>
      </c>
      <c r="K9" s="702">
        <v>16335</v>
      </c>
    </row>
    <row r="10" spans="1:11" ht="14.4" customHeight="1" x14ac:dyDescent="0.3">
      <c r="A10" s="696" t="s">
        <v>505</v>
      </c>
      <c r="B10" s="697" t="s">
        <v>506</v>
      </c>
      <c r="C10" s="698" t="s">
        <v>519</v>
      </c>
      <c r="D10" s="699" t="s">
        <v>520</v>
      </c>
      <c r="E10" s="698" t="s">
        <v>1875</v>
      </c>
      <c r="F10" s="699" t="s">
        <v>1876</v>
      </c>
      <c r="G10" s="698" t="s">
        <v>1887</v>
      </c>
      <c r="H10" s="698" t="s">
        <v>1888</v>
      </c>
      <c r="I10" s="701">
        <v>147.18076740611684</v>
      </c>
      <c r="J10" s="701">
        <v>208</v>
      </c>
      <c r="K10" s="702">
        <v>30613.730133056641</v>
      </c>
    </row>
    <row r="11" spans="1:11" ht="14.4" customHeight="1" x14ac:dyDescent="0.3">
      <c r="A11" s="696" t="s">
        <v>505</v>
      </c>
      <c r="B11" s="697" t="s">
        <v>506</v>
      </c>
      <c r="C11" s="698" t="s">
        <v>519</v>
      </c>
      <c r="D11" s="699" t="s">
        <v>520</v>
      </c>
      <c r="E11" s="698" t="s">
        <v>1875</v>
      </c>
      <c r="F11" s="699" t="s">
        <v>1876</v>
      </c>
      <c r="G11" s="698" t="s">
        <v>1889</v>
      </c>
      <c r="H11" s="698" t="s">
        <v>1890</v>
      </c>
      <c r="I11" s="701">
        <v>147.179311578924</v>
      </c>
      <c r="J11" s="701">
        <v>208</v>
      </c>
      <c r="K11" s="702">
        <v>30613.520294189453</v>
      </c>
    </row>
    <row r="12" spans="1:11" ht="14.4" customHeight="1" x14ac:dyDescent="0.3">
      <c r="A12" s="696" t="s">
        <v>505</v>
      </c>
      <c r="B12" s="697" t="s">
        <v>506</v>
      </c>
      <c r="C12" s="698" t="s">
        <v>519</v>
      </c>
      <c r="D12" s="699" t="s">
        <v>520</v>
      </c>
      <c r="E12" s="698" t="s">
        <v>1875</v>
      </c>
      <c r="F12" s="699" t="s">
        <v>1876</v>
      </c>
      <c r="G12" s="698" t="s">
        <v>1891</v>
      </c>
      <c r="H12" s="698" t="s">
        <v>1892</v>
      </c>
      <c r="I12" s="701">
        <v>34848</v>
      </c>
      <c r="J12" s="701">
        <v>1</v>
      </c>
      <c r="K12" s="702">
        <v>34848</v>
      </c>
    </row>
    <row r="13" spans="1:11" ht="14.4" customHeight="1" x14ac:dyDescent="0.3">
      <c r="A13" s="696" t="s">
        <v>505</v>
      </c>
      <c r="B13" s="697" t="s">
        <v>506</v>
      </c>
      <c r="C13" s="698" t="s">
        <v>519</v>
      </c>
      <c r="D13" s="699" t="s">
        <v>520</v>
      </c>
      <c r="E13" s="698" t="s">
        <v>1875</v>
      </c>
      <c r="F13" s="699" t="s">
        <v>1876</v>
      </c>
      <c r="G13" s="698" t="s">
        <v>1893</v>
      </c>
      <c r="H13" s="698" t="s">
        <v>1894</v>
      </c>
      <c r="I13" s="701">
        <v>2210.719970703125</v>
      </c>
      <c r="J13" s="701">
        <v>2</v>
      </c>
      <c r="K13" s="702">
        <v>4421.43994140625</v>
      </c>
    </row>
    <row r="14" spans="1:11" ht="14.4" customHeight="1" x14ac:dyDescent="0.3">
      <c r="A14" s="696" t="s">
        <v>505</v>
      </c>
      <c r="B14" s="697" t="s">
        <v>506</v>
      </c>
      <c r="C14" s="698" t="s">
        <v>519</v>
      </c>
      <c r="D14" s="699" t="s">
        <v>520</v>
      </c>
      <c r="E14" s="698" t="s">
        <v>1875</v>
      </c>
      <c r="F14" s="699" t="s">
        <v>1876</v>
      </c>
      <c r="G14" s="698" t="s">
        <v>1895</v>
      </c>
      <c r="H14" s="698" t="s">
        <v>1896</v>
      </c>
      <c r="I14" s="701">
        <v>147.12600097656249</v>
      </c>
      <c r="J14" s="701">
        <v>21</v>
      </c>
      <c r="K14" s="702">
        <v>3088.969970703125</v>
      </c>
    </row>
    <row r="15" spans="1:11" ht="14.4" customHeight="1" x14ac:dyDescent="0.3">
      <c r="A15" s="696" t="s">
        <v>505</v>
      </c>
      <c r="B15" s="697" t="s">
        <v>506</v>
      </c>
      <c r="C15" s="698" t="s">
        <v>519</v>
      </c>
      <c r="D15" s="699" t="s">
        <v>520</v>
      </c>
      <c r="E15" s="698" t="s">
        <v>1875</v>
      </c>
      <c r="F15" s="699" t="s">
        <v>1876</v>
      </c>
      <c r="G15" s="698" t="s">
        <v>1897</v>
      </c>
      <c r="H15" s="698" t="s">
        <v>1898</v>
      </c>
      <c r="I15" s="701">
        <v>302.5</v>
      </c>
      <c r="J15" s="701">
        <v>1</v>
      </c>
      <c r="K15" s="702">
        <v>302.5</v>
      </c>
    </row>
    <row r="16" spans="1:11" ht="14.4" customHeight="1" x14ac:dyDescent="0.3">
      <c r="A16" s="696" t="s">
        <v>505</v>
      </c>
      <c r="B16" s="697" t="s">
        <v>506</v>
      </c>
      <c r="C16" s="698" t="s">
        <v>519</v>
      </c>
      <c r="D16" s="699" t="s">
        <v>520</v>
      </c>
      <c r="E16" s="698" t="s">
        <v>1875</v>
      </c>
      <c r="F16" s="699" t="s">
        <v>1876</v>
      </c>
      <c r="G16" s="698" t="s">
        <v>1899</v>
      </c>
      <c r="H16" s="698" t="s">
        <v>1900</v>
      </c>
      <c r="I16" s="701">
        <v>9228.18017578125</v>
      </c>
      <c r="J16" s="701">
        <v>0.5</v>
      </c>
      <c r="K16" s="702">
        <v>4614.090087890625</v>
      </c>
    </row>
    <row r="17" spans="1:11" ht="14.4" customHeight="1" x14ac:dyDescent="0.3">
      <c r="A17" s="696" t="s">
        <v>505</v>
      </c>
      <c r="B17" s="697" t="s">
        <v>506</v>
      </c>
      <c r="C17" s="698" t="s">
        <v>519</v>
      </c>
      <c r="D17" s="699" t="s">
        <v>520</v>
      </c>
      <c r="E17" s="698" t="s">
        <v>1875</v>
      </c>
      <c r="F17" s="699" t="s">
        <v>1876</v>
      </c>
      <c r="G17" s="698" t="s">
        <v>1901</v>
      </c>
      <c r="H17" s="698" t="s">
        <v>1902</v>
      </c>
      <c r="I17" s="701">
        <v>2277.85009765625</v>
      </c>
      <c r="J17" s="701">
        <v>6</v>
      </c>
      <c r="K17" s="702">
        <v>13667.1005859375</v>
      </c>
    </row>
    <row r="18" spans="1:11" ht="14.4" customHeight="1" x14ac:dyDescent="0.3">
      <c r="A18" s="696" t="s">
        <v>505</v>
      </c>
      <c r="B18" s="697" t="s">
        <v>506</v>
      </c>
      <c r="C18" s="698" t="s">
        <v>519</v>
      </c>
      <c r="D18" s="699" t="s">
        <v>520</v>
      </c>
      <c r="E18" s="698" t="s">
        <v>1875</v>
      </c>
      <c r="F18" s="699" t="s">
        <v>1876</v>
      </c>
      <c r="G18" s="698" t="s">
        <v>1903</v>
      </c>
      <c r="H18" s="698" t="s">
        <v>1904</v>
      </c>
      <c r="I18" s="701">
        <v>2277.85009765625</v>
      </c>
      <c r="J18" s="701">
        <v>4</v>
      </c>
      <c r="K18" s="702">
        <v>9111.400390625</v>
      </c>
    </row>
    <row r="19" spans="1:11" ht="14.4" customHeight="1" x14ac:dyDescent="0.3">
      <c r="A19" s="696" t="s">
        <v>505</v>
      </c>
      <c r="B19" s="697" t="s">
        <v>506</v>
      </c>
      <c r="C19" s="698" t="s">
        <v>519</v>
      </c>
      <c r="D19" s="699" t="s">
        <v>520</v>
      </c>
      <c r="E19" s="698" t="s">
        <v>1875</v>
      </c>
      <c r="F19" s="699" t="s">
        <v>1876</v>
      </c>
      <c r="G19" s="698" t="s">
        <v>1905</v>
      </c>
      <c r="H19" s="698" t="s">
        <v>1906</v>
      </c>
      <c r="I19" s="701">
        <v>3035.31005859375</v>
      </c>
      <c r="J19" s="701">
        <v>12</v>
      </c>
      <c r="K19" s="702">
        <v>36423.72021484375</v>
      </c>
    </row>
    <row r="20" spans="1:11" ht="14.4" customHeight="1" x14ac:dyDescent="0.3">
      <c r="A20" s="696" t="s">
        <v>505</v>
      </c>
      <c r="B20" s="697" t="s">
        <v>506</v>
      </c>
      <c r="C20" s="698" t="s">
        <v>519</v>
      </c>
      <c r="D20" s="699" t="s">
        <v>520</v>
      </c>
      <c r="E20" s="698" t="s">
        <v>1875</v>
      </c>
      <c r="F20" s="699" t="s">
        <v>1876</v>
      </c>
      <c r="G20" s="698" t="s">
        <v>1907</v>
      </c>
      <c r="H20" s="698" t="s">
        <v>1908</v>
      </c>
      <c r="I20" s="701">
        <v>3035.31005859375</v>
      </c>
      <c r="J20" s="701">
        <v>6</v>
      </c>
      <c r="K20" s="702">
        <v>18211.8603515625</v>
      </c>
    </row>
    <row r="21" spans="1:11" ht="14.4" customHeight="1" x14ac:dyDescent="0.3">
      <c r="A21" s="696" t="s">
        <v>505</v>
      </c>
      <c r="B21" s="697" t="s">
        <v>506</v>
      </c>
      <c r="C21" s="698" t="s">
        <v>519</v>
      </c>
      <c r="D21" s="699" t="s">
        <v>520</v>
      </c>
      <c r="E21" s="698" t="s">
        <v>1875</v>
      </c>
      <c r="F21" s="699" t="s">
        <v>1876</v>
      </c>
      <c r="G21" s="698" t="s">
        <v>1909</v>
      </c>
      <c r="H21" s="698" t="s">
        <v>1910</v>
      </c>
      <c r="I21" s="701">
        <v>9228.2001953125</v>
      </c>
      <c r="J21" s="701">
        <v>0.5</v>
      </c>
      <c r="K21" s="702">
        <v>4614.10009765625</v>
      </c>
    </row>
    <row r="22" spans="1:11" ht="14.4" customHeight="1" x14ac:dyDescent="0.3">
      <c r="A22" s="696" t="s">
        <v>505</v>
      </c>
      <c r="B22" s="697" t="s">
        <v>506</v>
      </c>
      <c r="C22" s="698" t="s">
        <v>519</v>
      </c>
      <c r="D22" s="699" t="s">
        <v>520</v>
      </c>
      <c r="E22" s="698" t="s">
        <v>1875</v>
      </c>
      <c r="F22" s="699" t="s">
        <v>1876</v>
      </c>
      <c r="G22" s="698" t="s">
        <v>1911</v>
      </c>
      <c r="H22" s="698" t="s">
        <v>1912</v>
      </c>
      <c r="I22" s="701">
        <v>22994.58984375</v>
      </c>
      <c r="J22" s="701">
        <v>0.5</v>
      </c>
      <c r="K22" s="702">
        <v>11497.2900390625</v>
      </c>
    </row>
    <row r="23" spans="1:11" ht="14.4" customHeight="1" x14ac:dyDescent="0.3">
      <c r="A23" s="696" t="s">
        <v>505</v>
      </c>
      <c r="B23" s="697" t="s">
        <v>506</v>
      </c>
      <c r="C23" s="698" t="s">
        <v>519</v>
      </c>
      <c r="D23" s="699" t="s">
        <v>520</v>
      </c>
      <c r="E23" s="698" t="s">
        <v>1875</v>
      </c>
      <c r="F23" s="699" t="s">
        <v>1876</v>
      </c>
      <c r="G23" s="698" t="s">
        <v>1913</v>
      </c>
      <c r="H23" s="698" t="s">
        <v>1914</v>
      </c>
      <c r="I23" s="701">
        <v>22994.599609375</v>
      </c>
      <c r="J23" s="701">
        <v>0.5</v>
      </c>
      <c r="K23" s="702">
        <v>11497.2998046875</v>
      </c>
    </row>
    <row r="24" spans="1:11" ht="14.4" customHeight="1" x14ac:dyDescent="0.3">
      <c r="A24" s="696" t="s">
        <v>505</v>
      </c>
      <c r="B24" s="697" t="s">
        <v>506</v>
      </c>
      <c r="C24" s="698" t="s">
        <v>519</v>
      </c>
      <c r="D24" s="699" t="s">
        <v>520</v>
      </c>
      <c r="E24" s="698" t="s">
        <v>1875</v>
      </c>
      <c r="F24" s="699" t="s">
        <v>1876</v>
      </c>
      <c r="G24" s="698" t="s">
        <v>1915</v>
      </c>
      <c r="H24" s="698" t="s">
        <v>1916</v>
      </c>
      <c r="I24" s="701">
        <v>22994.599609375</v>
      </c>
      <c r="J24" s="701">
        <v>0.75</v>
      </c>
      <c r="K24" s="702">
        <v>17245.94970703125</v>
      </c>
    </row>
    <row r="25" spans="1:11" ht="14.4" customHeight="1" x14ac:dyDescent="0.3">
      <c r="A25" s="696" t="s">
        <v>505</v>
      </c>
      <c r="B25" s="697" t="s">
        <v>506</v>
      </c>
      <c r="C25" s="698" t="s">
        <v>519</v>
      </c>
      <c r="D25" s="699" t="s">
        <v>520</v>
      </c>
      <c r="E25" s="698" t="s">
        <v>1875</v>
      </c>
      <c r="F25" s="699" t="s">
        <v>1876</v>
      </c>
      <c r="G25" s="698" t="s">
        <v>1917</v>
      </c>
      <c r="H25" s="698" t="s">
        <v>1918</v>
      </c>
      <c r="I25" s="701">
        <v>16187.7197265625</v>
      </c>
      <c r="J25" s="701">
        <v>0.5</v>
      </c>
      <c r="K25" s="702">
        <v>8093.85986328125</v>
      </c>
    </row>
    <row r="26" spans="1:11" ht="14.4" customHeight="1" x14ac:dyDescent="0.3">
      <c r="A26" s="696" t="s">
        <v>505</v>
      </c>
      <c r="B26" s="697" t="s">
        <v>506</v>
      </c>
      <c r="C26" s="698" t="s">
        <v>519</v>
      </c>
      <c r="D26" s="699" t="s">
        <v>520</v>
      </c>
      <c r="E26" s="698" t="s">
        <v>1875</v>
      </c>
      <c r="F26" s="699" t="s">
        <v>1876</v>
      </c>
      <c r="G26" s="698" t="s">
        <v>1919</v>
      </c>
      <c r="H26" s="698" t="s">
        <v>1920</v>
      </c>
      <c r="I26" s="701">
        <v>16187.7197265625</v>
      </c>
      <c r="J26" s="701">
        <v>0.75</v>
      </c>
      <c r="K26" s="702">
        <v>12140.789794921875</v>
      </c>
    </row>
    <row r="27" spans="1:11" ht="14.4" customHeight="1" x14ac:dyDescent="0.3">
      <c r="A27" s="696" t="s">
        <v>505</v>
      </c>
      <c r="B27" s="697" t="s">
        <v>506</v>
      </c>
      <c r="C27" s="698" t="s">
        <v>519</v>
      </c>
      <c r="D27" s="699" t="s">
        <v>520</v>
      </c>
      <c r="E27" s="698" t="s">
        <v>1875</v>
      </c>
      <c r="F27" s="699" t="s">
        <v>1876</v>
      </c>
      <c r="G27" s="698" t="s">
        <v>1921</v>
      </c>
      <c r="H27" s="698" t="s">
        <v>1922</v>
      </c>
      <c r="I27" s="701">
        <v>3709.659912109375</v>
      </c>
      <c r="J27" s="701">
        <v>0.25</v>
      </c>
      <c r="K27" s="702">
        <v>927.39996337890625</v>
      </c>
    </row>
    <row r="28" spans="1:11" ht="14.4" customHeight="1" x14ac:dyDescent="0.3">
      <c r="A28" s="696" t="s">
        <v>505</v>
      </c>
      <c r="B28" s="697" t="s">
        <v>506</v>
      </c>
      <c r="C28" s="698" t="s">
        <v>519</v>
      </c>
      <c r="D28" s="699" t="s">
        <v>520</v>
      </c>
      <c r="E28" s="698" t="s">
        <v>1875</v>
      </c>
      <c r="F28" s="699" t="s">
        <v>1876</v>
      </c>
      <c r="G28" s="698" t="s">
        <v>1923</v>
      </c>
      <c r="H28" s="698" t="s">
        <v>1924</v>
      </c>
      <c r="I28" s="701">
        <v>3130.7575073242187</v>
      </c>
      <c r="J28" s="701">
        <v>7</v>
      </c>
      <c r="K28" s="702">
        <v>21915.279296875</v>
      </c>
    </row>
    <row r="29" spans="1:11" ht="14.4" customHeight="1" x14ac:dyDescent="0.3">
      <c r="A29" s="696" t="s">
        <v>505</v>
      </c>
      <c r="B29" s="697" t="s">
        <v>506</v>
      </c>
      <c r="C29" s="698" t="s">
        <v>519</v>
      </c>
      <c r="D29" s="699" t="s">
        <v>520</v>
      </c>
      <c r="E29" s="698" t="s">
        <v>1875</v>
      </c>
      <c r="F29" s="699" t="s">
        <v>1876</v>
      </c>
      <c r="G29" s="698" t="s">
        <v>1925</v>
      </c>
      <c r="H29" s="698" t="s">
        <v>1926</v>
      </c>
      <c r="I29" s="701">
        <v>213.35000610351562</v>
      </c>
      <c r="J29" s="701">
        <v>20</v>
      </c>
      <c r="K29" s="702">
        <v>4266.93994140625</v>
      </c>
    </row>
    <row r="30" spans="1:11" ht="14.4" customHeight="1" x14ac:dyDescent="0.3">
      <c r="A30" s="696" t="s">
        <v>505</v>
      </c>
      <c r="B30" s="697" t="s">
        <v>506</v>
      </c>
      <c r="C30" s="698" t="s">
        <v>519</v>
      </c>
      <c r="D30" s="699" t="s">
        <v>520</v>
      </c>
      <c r="E30" s="698" t="s">
        <v>1875</v>
      </c>
      <c r="F30" s="699" t="s">
        <v>1876</v>
      </c>
      <c r="G30" s="698" t="s">
        <v>1927</v>
      </c>
      <c r="H30" s="698" t="s">
        <v>1928</v>
      </c>
      <c r="I30" s="701">
        <v>2722.4996582031249</v>
      </c>
      <c r="J30" s="701">
        <v>38</v>
      </c>
      <c r="K30" s="702">
        <v>103454.990234375</v>
      </c>
    </row>
    <row r="31" spans="1:11" ht="14.4" customHeight="1" x14ac:dyDescent="0.3">
      <c r="A31" s="696" t="s">
        <v>505</v>
      </c>
      <c r="B31" s="697" t="s">
        <v>506</v>
      </c>
      <c r="C31" s="698" t="s">
        <v>519</v>
      </c>
      <c r="D31" s="699" t="s">
        <v>520</v>
      </c>
      <c r="E31" s="698" t="s">
        <v>1875</v>
      </c>
      <c r="F31" s="699" t="s">
        <v>1876</v>
      </c>
      <c r="G31" s="698" t="s">
        <v>1929</v>
      </c>
      <c r="H31" s="698" t="s">
        <v>1930</v>
      </c>
      <c r="I31" s="701">
        <v>2624.5400390625</v>
      </c>
      <c r="J31" s="701">
        <v>1</v>
      </c>
      <c r="K31" s="702">
        <v>2624.5400390625</v>
      </c>
    </row>
    <row r="32" spans="1:11" ht="14.4" customHeight="1" x14ac:dyDescent="0.3">
      <c r="A32" s="696" t="s">
        <v>505</v>
      </c>
      <c r="B32" s="697" t="s">
        <v>506</v>
      </c>
      <c r="C32" s="698" t="s">
        <v>519</v>
      </c>
      <c r="D32" s="699" t="s">
        <v>520</v>
      </c>
      <c r="E32" s="698" t="s">
        <v>1931</v>
      </c>
      <c r="F32" s="699" t="s">
        <v>1932</v>
      </c>
      <c r="G32" s="698" t="s">
        <v>1933</v>
      </c>
      <c r="H32" s="698" t="s">
        <v>1934</v>
      </c>
      <c r="I32" s="701">
        <v>91.839996337890625</v>
      </c>
      <c r="J32" s="701">
        <v>2</v>
      </c>
      <c r="K32" s="702">
        <v>183.67999267578125</v>
      </c>
    </row>
    <row r="33" spans="1:11" ht="14.4" customHeight="1" x14ac:dyDescent="0.3">
      <c r="A33" s="696" t="s">
        <v>505</v>
      </c>
      <c r="B33" s="697" t="s">
        <v>506</v>
      </c>
      <c r="C33" s="698" t="s">
        <v>519</v>
      </c>
      <c r="D33" s="699" t="s">
        <v>520</v>
      </c>
      <c r="E33" s="698" t="s">
        <v>1931</v>
      </c>
      <c r="F33" s="699" t="s">
        <v>1932</v>
      </c>
      <c r="G33" s="698" t="s">
        <v>1935</v>
      </c>
      <c r="H33" s="698" t="s">
        <v>1936</v>
      </c>
      <c r="I33" s="701">
        <v>150.82000732421875</v>
      </c>
      <c r="J33" s="701">
        <v>1</v>
      </c>
      <c r="K33" s="702">
        <v>150.82000732421875</v>
      </c>
    </row>
    <row r="34" spans="1:11" ht="14.4" customHeight="1" x14ac:dyDescent="0.3">
      <c r="A34" s="696" t="s">
        <v>505</v>
      </c>
      <c r="B34" s="697" t="s">
        <v>506</v>
      </c>
      <c r="C34" s="698" t="s">
        <v>519</v>
      </c>
      <c r="D34" s="699" t="s">
        <v>520</v>
      </c>
      <c r="E34" s="698" t="s">
        <v>1931</v>
      </c>
      <c r="F34" s="699" t="s">
        <v>1932</v>
      </c>
      <c r="G34" s="698" t="s">
        <v>1937</v>
      </c>
      <c r="H34" s="698" t="s">
        <v>1938</v>
      </c>
      <c r="I34" s="701">
        <v>53.849998474121094</v>
      </c>
      <c r="J34" s="701">
        <v>2</v>
      </c>
      <c r="K34" s="702">
        <v>107.69000244140625</v>
      </c>
    </row>
    <row r="35" spans="1:11" ht="14.4" customHeight="1" x14ac:dyDescent="0.3">
      <c r="A35" s="696" t="s">
        <v>505</v>
      </c>
      <c r="B35" s="697" t="s">
        <v>506</v>
      </c>
      <c r="C35" s="698" t="s">
        <v>519</v>
      </c>
      <c r="D35" s="699" t="s">
        <v>520</v>
      </c>
      <c r="E35" s="698" t="s">
        <v>1939</v>
      </c>
      <c r="F35" s="699" t="s">
        <v>1940</v>
      </c>
      <c r="G35" s="698" t="s">
        <v>1941</v>
      </c>
      <c r="H35" s="698" t="s">
        <v>1942</v>
      </c>
      <c r="I35" s="701">
        <v>6.440000057220459</v>
      </c>
      <c r="J35" s="701">
        <v>1450</v>
      </c>
      <c r="K35" s="702">
        <v>9338</v>
      </c>
    </row>
    <row r="36" spans="1:11" ht="14.4" customHeight="1" x14ac:dyDescent="0.3">
      <c r="A36" s="696" t="s">
        <v>505</v>
      </c>
      <c r="B36" s="697" t="s">
        <v>506</v>
      </c>
      <c r="C36" s="698" t="s">
        <v>519</v>
      </c>
      <c r="D36" s="699" t="s">
        <v>520</v>
      </c>
      <c r="E36" s="698" t="s">
        <v>1939</v>
      </c>
      <c r="F36" s="699" t="s">
        <v>1940</v>
      </c>
      <c r="G36" s="698" t="s">
        <v>1941</v>
      </c>
      <c r="H36" s="698" t="s">
        <v>1943</v>
      </c>
      <c r="I36" s="701">
        <v>5.179999828338623</v>
      </c>
      <c r="J36" s="701">
        <v>150</v>
      </c>
      <c r="K36" s="702">
        <v>776.25</v>
      </c>
    </row>
    <row r="37" spans="1:11" ht="14.4" customHeight="1" x14ac:dyDescent="0.3">
      <c r="A37" s="696" t="s">
        <v>505</v>
      </c>
      <c r="B37" s="697" t="s">
        <v>506</v>
      </c>
      <c r="C37" s="698" t="s">
        <v>519</v>
      </c>
      <c r="D37" s="699" t="s">
        <v>520</v>
      </c>
      <c r="E37" s="698" t="s">
        <v>1939</v>
      </c>
      <c r="F37" s="699" t="s">
        <v>1940</v>
      </c>
      <c r="G37" s="698" t="s">
        <v>1944</v>
      </c>
      <c r="H37" s="698" t="s">
        <v>1945</v>
      </c>
      <c r="I37" s="701">
        <v>4.1100001335144043</v>
      </c>
      <c r="J37" s="701">
        <v>1200</v>
      </c>
      <c r="K37" s="702">
        <v>4932.0000305175781</v>
      </c>
    </row>
    <row r="38" spans="1:11" ht="14.4" customHeight="1" x14ac:dyDescent="0.3">
      <c r="A38" s="696" t="s">
        <v>505</v>
      </c>
      <c r="B38" s="697" t="s">
        <v>506</v>
      </c>
      <c r="C38" s="698" t="s">
        <v>519</v>
      </c>
      <c r="D38" s="699" t="s">
        <v>520</v>
      </c>
      <c r="E38" s="698" t="s">
        <v>1939</v>
      </c>
      <c r="F38" s="699" t="s">
        <v>1940</v>
      </c>
      <c r="G38" s="698" t="s">
        <v>1946</v>
      </c>
      <c r="H38" s="698" t="s">
        <v>1947</v>
      </c>
      <c r="I38" s="701">
        <v>6.242499828338623</v>
      </c>
      <c r="J38" s="701">
        <v>690</v>
      </c>
      <c r="K38" s="702">
        <v>4308.5</v>
      </c>
    </row>
    <row r="39" spans="1:11" ht="14.4" customHeight="1" x14ac:dyDescent="0.3">
      <c r="A39" s="696" t="s">
        <v>505</v>
      </c>
      <c r="B39" s="697" t="s">
        <v>506</v>
      </c>
      <c r="C39" s="698" t="s">
        <v>519</v>
      </c>
      <c r="D39" s="699" t="s">
        <v>520</v>
      </c>
      <c r="E39" s="698" t="s">
        <v>1939</v>
      </c>
      <c r="F39" s="699" t="s">
        <v>1940</v>
      </c>
      <c r="G39" s="698" t="s">
        <v>1948</v>
      </c>
      <c r="H39" s="698" t="s">
        <v>1949</v>
      </c>
      <c r="I39" s="701">
        <v>9.0125002861022949</v>
      </c>
      <c r="J39" s="701">
        <v>520</v>
      </c>
      <c r="K39" s="702">
        <v>4686.60009765625</v>
      </c>
    </row>
    <row r="40" spans="1:11" ht="14.4" customHeight="1" x14ac:dyDescent="0.3">
      <c r="A40" s="696" t="s">
        <v>505</v>
      </c>
      <c r="B40" s="697" t="s">
        <v>506</v>
      </c>
      <c r="C40" s="698" t="s">
        <v>519</v>
      </c>
      <c r="D40" s="699" t="s">
        <v>520</v>
      </c>
      <c r="E40" s="698" t="s">
        <v>1939</v>
      </c>
      <c r="F40" s="699" t="s">
        <v>1940</v>
      </c>
      <c r="G40" s="698" t="s">
        <v>1950</v>
      </c>
      <c r="H40" s="698" t="s">
        <v>1951</v>
      </c>
      <c r="I40" s="701">
        <v>8.5900001525878906</v>
      </c>
      <c r="J40" s="701">
        <v>1110</v>
      </c>
      <c r="K40" s="702">
        <v>9535.83984375</v>
      </c>
    </row>
    <row r="41" spans="1:11" ht="14.4" customHeight="1" x14ac:dyDescent="0.3">
      <c r="A41" s="696" t="s">
        <v>505</v>
      </c>
      <c r="B41" s="697" t="s">
        <v>506</v>
      </c>
      <c r="C41" s="698" t="s">
        <v>519</v>
      </c>
      <c r="D41" s="699" t="s">
        <v>520</v>
      </c>
      <c r="E41" s="698" t="s">
        <v>1939</v>
      </c>
      <c r="F41" s="699" t="s">
        <v>1940</v>
      </c>
      <c r="G41" s="698" t="s">
        <v>1952</v>
      </c>
      <c r="H41" s="698" t="s">
        <v>1953</v>
      </c>
      <c r="I41" s="701">
        <v>13.042142868041992</v>
      </c>
      <c r="J41" s="701">
        <v>1600</v>
      </c>
      <c r="K41" s="702">
        <v>20865.2197265625</v>
      </c>
    </row>
    <row r="42" spans="1:11" ht="14.4" customHeight="1" x14ac:dyDescent="0.3">
      <c r="A42" s="696" t="s">
        <v>505</v>
      </c>
      <c r="B42" s="697" t="s">
        <v>506</v>
      </c>
      <c r="C42" s="698" t="s">
        <v>519</v>
      </c>
      <c r="D42" s="699" t="s">
        <v>520</v>
      </c>
      <c r="E42" s="698" t="s">
        <v>1939</v>
      </c>
      <c r="F42" s="699" t="s">
        <v>1940</v>
      </c>
      <c r="G42" s="698" t="s">
        <v>1954</v>
      </c>
      <c r="H42" s="698" t="s">
        <v>1955</v>
      </c>
      <c r="I42" s="701">
        <v>0.98000001907348633</v>
      </c>
      <c r="J42" s="701">
        <v>500</v>
      </c>
      <c r="K42" s="702">
        <v>490</v>
      </c>
    </row>
    <row r="43" spans="1:11" ht="14.4" customHeight="1" x14ac:dyDescent="0.3">
      <c r="A43" s="696" t="s">
        <v>505</v>
      </c>
      <c r="B43" s="697" t="s">
        <v>506</v>
      </c>
      <c r="C43" s="698" t="s">
        <v>519</v>
      </c>
      <c r="D43" s="699" t="s">
        <v>520</v>
      </c>
      <c r="E43" s="698" t="s">
        <v>1939</v>
      </c>
      <c r="F43" s="699" t="s">
        <v>1940</v>
      </c>
      <c r="G43" s="698" t="s">
        <v>1956</v>
      </c>
      <c r="H43" s="698" t="s">
        <v>1957</v>
      </c>
      <c r="I43" s="701">
        <v>0.43999999761581421</v>
      </c>
      <c r="J43" s="701">
        <v>2000</v>
      </c>
      <c r="K43" s="702">
        <v>880</v>
      </c>
    </row>
    <row r="44" spans="1:11" ht="14.4" customHeight="1" x14ac:dyDescent="0.3">
      <c r="A44" s="696" t="s">
        <v>505</v>
      </c>
      <c r="B44" s="697" t="s">
        <v>506</v>
      </c>
      <c r="C44" s="698" t="s">
        <v>519</v>
      </c>
      <c r="D44" s="699" t="s">
        <v>520</v>
      </c>
      <c r="E44" s="698" t="s">
        <v>1939</v>
      </c>
      <c r="F44" s="699" t="s">
        <v>1940</v>
      </c>
      <c r="G44" s="698" t="s">
        <v>1958</v>
      </c>
      <c r="H44" s="698" t="s">
        <v>1959</v>
      </c>
      <c r="I44" s="701">
        <v>0.625</v>
      </c>
      <c r="J44" s="701">
        <v>8500</v>
      </c>
      <c r="K44" s="702">
        <v>5310</v>
      </c>
    </row>
    <row r="45" spans="1:11" ht="14.4" customHeight="1" x14ac:dyDescent="0.3">
      <c r="A45" s="696" t="s">
        <v>505</v>
      </c>
      <c r="B45" s="697" t="s">
        <v>506</v>
      </c>
      <c r="C45" s="698" t="s">
        <v>519</v>
      </c>
      <c r="D45" s="699" t="s">
        <v>520</v>
      </c>
      <c r="E45" s="698" t="s">
        <v>1939</v>
      </c>
      <c r="F45" s="699" t="s">
        <v>1940</v>
      </c>
      <c r="G45" s="698" t="s">
        <v>1958</v>
      </c>
      <c r="H45" s="698" t="s">
        <v>1960</v>
      </c>
      <c r="I45" s="701">
        <v>0.62000000476837158</v>
      </c>
      <c r="J45" s="701">
        <v>2000</v>
      </c>
      <c r="K45" s="702">
        <v>1240</v>
      </c>
    </row>
    <row r="46" spans="1:11" ht="14.4" customHeight="1" x14ac:dyDescent="0.3">
      <c r="A46" s="696" t="s">
        <v>505</v>
      </c>
      <c r="B46" s="697" t="s">
        <v>506</v>
      </c>
      <c r="C46" s="698" t="s">
        <v>519</v>
      </c>
      <c r="D46" s="699" t="s">
        <v>520</v>
      </c>
      <c r="E46" s="698" t="s">
        <v>1939</v>
      </c>
      <c r="F46" s="699" t="s">
        <v>1940</v>
      </c>
      <c r="G46" s="698" t="s">
        <v>1961</v>
      </c>
      <c r="H46" s="698" t="s">
        <v>1962</v>
      </c>
      <c r="I46" s="701">
        <v>3.0149999856948853</v>
      </c>
      <c r="J46" s="701">
        <v>1000</v>
      </c>
      <c r="K46" s="702">
        <v>3012</v>
      </c>
    </row>
    <row r="47" spans="1:11" ht="14.4" customHeight="1" x14ac:dyDescent="0.3">
      <c r="A47" s="696" t="s">
        <v>505</v>
      </c>
      <c r="B47" s="697" t="s">
        <v>506</v>
      </c>
      <c r="C47" s="698" t="s">
        <v>519</v>
      </c>
      <c r="D47" s="699" t="s">
        <v>520</v>
      </c>
      <c r="E47" s="698" t="s">
        <v>1939</v>
      </c>
      <c r="F47" s="699" t="s">
        <v>1940</v>
      </c>
      <c r="G47" s="698" t="s">
        <v>1963</v>
      </c>
      <c r="H47" s="698" t="s">
        <v>1964</v>
      </c>
      <c r="I47" s="701">
        <v>1.2908332943916321</v>
      </c>
      <c r="J47" s="701">
        <v>32400</v>
      </c>
      <c r="K47" s="702">
        <v>41834.31982421875</v>
      </c>
    </row>
    <row r="48" spans="1:11" ht="14.4" customHeight="1" x14ac:dyDescent="0.3">
      <c r="A48" s="696" t="s">
        <v>505</v>
      </c>
      <c r="B48" s="697" t="s">
        <v>506</v>
      </c>
      <c r="C48" s="698" t="s">
        <v>519</v>
      </c>
      <c r="D48" s="699" t="s">
        <v>520</v>
      </c>
      <c r="E48" s="698" t="s">
        <v>1939</v>
      </c>
      <c r="F48" s="699" t="s">
        <v>1940</v>
      </c>
      <c r="G48" s="698" t="s">
        <v>1965</v>
      </c>
      <c r="H48" s="698" t="s">
        <v>1966</v>
      </c>
      <c r="I48" s="701">
        <v>0.15999999642372131</v>
      </c>
      <c r="J48" s="701">
        <v>0</v>
      </c>
      <c r="K48" s="702">
        <v>0</v>
      </c>
    </row>
    <row r="49" spans="1:11" ht="14.4" customHeight="1" x14ac:dyDescent="0.3">
      <c r="A49" s="696" t="s">
        <v>505</v>
      </c>
      <c r="B49" s="697" t="s">
        <v>506</v>
      </c>
      <c r="C49" s="698" t="s">
        <v>519</v>
      </c>
      <c r="D49" s="699" t="s">
        <v>520</v>
      </c>
      <c r="E49" s="698" t="s">
        <v>1939</v>
      </c>
      <c r="F49" s="699" t="s">
        <v>1940</v>
      </c>
      <c r="G49" s="698" t="s">
        <v>1967</v>
      </c>
      <c r="H49" s="698" t="s">
        <v>1968</v>
      </c>
      <c r="I49" s="701">
        <v>0.43999999761581421</v>
      </c>
      <c r="J49" s="701">
        <v>100</v>
      </c>
      <c r="K49" s="702">
        <v>44</v>
      </c>
    </row>
    <row r="50" spans="1:11" ht="14.4" customHeight="1" x14ac:dyDescent="0.3">
      <c r="A50" s="696" t="s">
        <v>505</v>
      </c>
      <c r="B50" s="697" t="s">
        <v>506</v>
      </c>
      <c r="C50" s="698" t="s">
        <v>519</v>
      </c>
      <c r="D50" s="699" t="s">
        <v>520</v>
      </c>
      <c r="E50" s="698" t="s">
        <v>1939</v>
      </c>
      <c r="F50" s="699" t="s">
        <v>1940</v>
      </c>
      <c r="G50" s="698" t="s">
        <v>1969</v>
      </c>
      <c r="H50" s="698" t="s">
        <v>1970</v>
      </c>
      <c r="I50" s="701">
        <v>157.21267089843749</v>
      </c>
      <c r="J50" s="701">
        <v>184</v>
      </c>
      <c r="K50" s="702">
        <v>28924.269622802734</v>
      </c>
    </row>
    <row r="51" spans="1:11" ht="14.4" customHeight="1" x14ac:dyDescent="0.3">
      <c r="A51" s="696" t="s">
        <v>505</v>
      </c>
      <c r="B51" s="697" t="s">
        <v>506</v>
      </c>
      <c r="C51" s="698" t="s">
        <v>519</v>
      </c>
      <c r="D51" s="699" t="s">
        <v>520</v>
      </c>
      <c r="E51" s="698" t="s">
        <v>1939</v>
      </c>
      <c r="F51" s="699" t="s">
        <v>1940</v>
      </c>
      <c r="G51" s="698" t="s">
        <v>1971</v>
      </c>
      <c r="H51" s="698" t="s">
        <v>1972</v>
      </c>
      <c r="I51" s="701">
        <v>86.370002746582031</v>
      </c>
      <c r="J51" s="701">
        <v>20</v>
      </c>
      <c r="K51" s="702">
        <v>1727.4000244140625</v>
      </c>
    </row>
    <row r="52" spans="1:11" ht="14.4" customHeight="1" x14ac:dyDescent="0.3">
      <c r="A52" s="696" t="s">
        <v>505</v>
      </c>
      <c r="B52" s="697" t="s">
        <v>506</v>
      </c>
      <c r="C52" s="698" t="s">
        <v>519</v>
      </c>
      <c r="D52" s="699" t="s">
        <v>520</v>
      </c>
      <c r="E52" s="698" t="s">
        <v>1939</v>
      </c>
      <c r="F52" s="699" t="s">
        <v>1940</v>
      </c>
      <c r="G52" s="698" t="s">
        <v>1973</v>
      </c>
      <c r="H52" s="698" t="s">
        <v>1974</v>
      </c>
      <c r="I52" s="701">
        <v>6.440000057220459</v>
      </c>
      <c r="J52" s="701">
        <v>100</v>
      </c>
      <c r="K52" s="702">
        <v>644</v>
      </c>
    </row>
    <row r="53" spans="1:11" ht="14.4" customHeight="1" x14ac:dyDescent="0.3">
      <c r="A53" s="696" t="s">
        <v>505</v>
      </c>
      <c r="B53" s="697" t="s">
        <v>506</v>
      </c>
      <c r="C53" s="698" t="s">
        <v>519</v>
      </c>
      <c r="D53" s="699" t="s">
        <v>520</v>
      </c>
      <c r="E53" s="698" t="s">
        <v>1939</v>
      </c>
      <c r="F53" s="699" t="s">
        <v>1940</v>
      </c>
      <c r="G53" s="698" t="s">
        <v>1975</v>
      </c>
      <c r="H53" s="698" t="s">
        <v>1976</v>
      </c>
      <c r="I53" s="701">
        <v>128.71000671386719</v>
      </c>
      <c r="J53" s="701">
        <v>60</v>
      </c>
      <c r="K53" s="702">
        <v>7722.4798583984375</v>
      </c>
    </row>
    <row r="54" spans="1:11" ht="14.4" customHeight="1" x14ac:dyDescent="0.3">
      <c r="A54" s="696" t="s">
        <v>505</v>
      </c>
      <c r="B54" s="697" t="s">
        <v>506</v>
      </c>
      <c r="C54" s="698" t="s">
        <v>519</v>
      </c>
      <c r="D54" s="699" t="s">
        <v>520</v>
      </c>
      <c r="E54" s="698" t="s">
        <v>1939</v>
      </c>
      <c r="F54" s="699" t="s">
        <v>1940</v>
      </c>
      <c r="G54" s="698" t="s">
        <v>1977</v>
      </c>
      <c r="H54" s="698" t="s">
        <v>1978</v>
      </c>
      <c r="I54" s="701">
        <v>3.0199999809265137</v>
      </c>
      <c r="J54" s="701">
        <v>70</v>
      </c>
      <c r="K54" s="702">
        <v>211.27999877929687</v>
      </c>
    </row>
    <row r="55" spans="1:11" ht="14.4" customHeight="1" x14ac:dyDescent="0.3">
      <c r="A55" s="696" t="s">
        <v>505</v>
      </c>
      <c r="B55" s="697" t="s">
        <v>506</v>
      </c>
      <c r="C55" s="698" t="s">
        <v>519</v>
      </c>
      <c r="D55" s="699" t="s">
        <v>520</v>
      </c>
      <c r="E55" s="698" t="s">
        <v>1939</v>
      </c>
      <c r="F55" s="699" t="s">
        <v>1940</v>
      </c>
      <c r="G55" s="698" t="s">
        <v>1979</v>
      </c>
      <c r="H55" s="698" t="s">
        <v>1980</v>
      </c>
      <c r="I55" s="701">
        <v>97.959999084472656</v>
      </c>
      <c r="J55" s="701">
        <v>3</v>
      </c>
      <c r="K55" s="702">
        <v>293.8699951171875</v>
      </c>
    </row>
    <row r="56" spans="1:11" ht="14.4" customHeight="1" x14ac:dyDescent="0.3">
      <c r="A56" s="696" t="s">
        <v>505</v>
      </c>
      <c r="B56" s="697" t="s">
        <v>506</v>
      </c>
      <c r="C56" s="698" t="s">
        <v>519</v>
      </c>
      <c r="D56" s="699" t="s">
        <v>520</v>
      </c>
      <c r="E56" s="698" t="s">
        <v>1939</v>
      </c>
      <c r="F56" s="699" t="s">
        <v>1940</v>
      </c>
      <c r="G56" s="698" t="s">
        <v>1981</v>
      </c>
      <c r="H56" s="698" t="s">
        <v>1982</v>
      </c>
      <c r="I56" s="701">
        <v>642.08502197265625</v>
      </c>
      <c r="J56" s="701">
        <v>5</v>
      </c>
      <c r="K56" s="702">
        <v>3210.4300537109375</v>
      </c>
    </row>
    <row r="57" spans="1:11" ht="14.4" customHeight="1" x14ac:dyDescent="0.3">
      <c r="A57" s="696" t="s">
        <v>505</v>
      </c>
      <c r="B57" s="697" t="s">
        <v>506</v>
      </c>
      <c r="C57" s="698" t="s">
        <v>519</v>
      </c>
      <c r="D57" s="699" t="s">
        <v>520</v>
      </c>
      <c r="E57" s="698" t="s">
        <v>1939</v>
      </c>
      <c r="F57" s="699" t="s">
        <v>1940</v>
      </c>
      <c r="G57" s="698" t="s">
        <v>1983</v>
      </c>
      <c r="H57" s="698" t="s">
        <v>1984</v>
      </c>
      <c r="I57" s="701">
        <v>18.399999618530273</v>
      </c>
      <c r="J57" s="701">
        <v>100</v>
      </c>
      <c r="K57" s="702">
        <v>1840</v>
      </c>
    </row>
    <row r="58" spans="1:11" ht="14.4" customHeight="1" x14ac:dyDescent="0.3">
      <c r="A58" s="696" t="s">
        <v>505</v>
      </c>
      <c r="B58" s="697" t="s">
        <v>506</v>
      </c>
      <c r="C58" s="698" t="s">
        <v>519</v>
      </c>
      <c r="D58" s="699" t="s">
        <v>520</v>
      </c>
      <c r="E58" s="698" t="s">
        <v>1939</v>
      </c>
      <c r="F58" s="699" t="s">
        <v>1940</v>
      </c>
      <c r="G58" s="698" t="s">
        <v>1985</v>
      </c>
      <c r="H58" s="698" t="s">
        <v>1986</v>
      </c>
      <c r="I58" s="701">
        <v>272.42999267578125</v>
      </c>
      <c r="J58" s="701">
        <v>6</v>
      </c>
      <c r="K58" s="702">
        <v>1634.5999755859375</v>
      </c>
    </row>
    <row r="59" spans="1:11" ht="14.4" customHeight="1" x14ac:dyDescent="0.3">
      <c r="A59" s="696" t="s">
        <v>505</v>
      </c>
      <c r="B59" s="697" t="s">
        <v>506</v>
      </c>
      <c r="C59" s="698" t="s">
        <v>519</v>
      </c>
      <c r="D59" s="699" t="s">
        <v>520</v>
      </c>
      <c r="E59" s="698" t="s">
        <v>1939</v>
      </c>
      <c r="F59" s="699" t="s">
        <v>1940</v>
      </c>
      <c r="G59" s="698" t="s">
        <v>1987</v>
      </c>
      <c r="H59" s="698" t="s">
        <v>1988</v>
      </c>
      <c r="I59" s="701">
        <v>22.147856712341309</v>
      </c>
      <c r="J59" s="701">
        <v>1040</v>
      </c>
      <c r="K59" s="702">
        <v>23033.849975585938</v>
      </c>
    </row>
    <row r="60" spans="1:11" ht="14.4" customHeight="1" x14ac:dyDescent="0.3">
      <c r="A60" s="696" t="s">
        <v>505</v>
      </c>
      <c r="B60" s="697" t="s">
        <v>506</v>
      </c>
      <c r="C60" s="698" t="s">
        <v>519</v>
      </c>
      <c r="D60" s="699" t="s">
        <v>520</v>
      </c>
      <c r="E60" s="698" t="s">
        <v>1939</v>
      </c>
      <c r="F60" s="699" t="s">
        <v>1940</v>
      </c>
      <c r="G60" s="698" t="s">
        <v>1989</v>
      </c>
      <c r="H60" s="698" t="s">
        <v>1990</v>
      </c>
      <c r="I60" s="701">
        <v>30.177272970026191</v>
      </c>
      <c r="J60" s="701">
        <v>505</v>
      </c>
      <c r="K60" s="702">
        <v>15238.650024414062</v>
      </c>
    </row>
    <row r="61" spans="1:11" ht="14.4" customHeight="1" x14ac:dyDescent="0.3">
      <c r="A61" s="696" t="s">
        <v>505</v>
      </c>
      <c r="B61" s="697" t="s">
        <v>506</v>
      </c>
      <c r="C61" s="698" t="s">
        <v>519</v>
      </c>
      <c r="D61" s="699" t="s">
        <v>520</v>
      </c>
      <c r="E61" s="698" t="s">
        <v>1939</v>
      </c>
      <c r="F61" s="699" t="s">
        <v>1940</v>
      </c>
      <c r="G61" s="698" t="s">
        <v>1991</v>
      </c>
      <c r="H61" s="698" t="s">
        <v>1992</v>
      </c>
      <c r="I61" s="701">
        <v>235.75</v>
      </c>
      <c r="J61" s="701">
        <v>62</v>
      </c>
      <c r="K61" s="702">
        <v>14616.5</v>
      </c>
    </row>
    <row r="62" spans="1:11" ht="14.4" customHeight="1" x14ac:dyDescent="0.3">
      <c r="A62" s="696" t="s">
        <v>505</v>
      </c>
      <c r="B62" s="697" t="s">
        <v>506</v>
      </c>
      <c r="C62" s="698" t="s">
        <v>519</v>
      </c>
      <c r="D62" s="699" t="s">
        <v>520</v>
      </c>
      <c r="E62" s="698" t="s">
        <v>1939</v>
      </c>
      <c r="F62" s="699" t="s">
        <v>1940</v>
      </c>
      <c r="G62" s="698" t="s">
        <v>1993</v>
      </c>
      <c r="H62" s="698" t="s">
        <v>1994</v>
      </c>
      <c r="I62" s="701">
        <v>361.10000610351562</v>
      </c>
      <c r="J62" s="701">
        <v>43</v>
      </c>
      <c r="K62" s="702">
        <v>15527.300689697266</v>
      </c>
    </row>
    <row r="63" spans="1:11" ht="14.4" customHeight="1" x14ac:dyDescent="0.3">
      <c r="A63" s="696" t="s">
        <v>505</v>
      </c>
      <c r="B63" s="697" t="s">
        <v>506</v>
      </c>
      <c r="C63" s="698" t="s">
        <v>519</v>
      </c>
      <c r="D63" s="699" t="s">
        <v>520</v>
      </c>
      <c r="E63" s="698" t="s">
        <v>1939</v>
      </c>
      <c r="F63" s="699" t="s">
        <v>1940</v>
      </c>
      <c r="G63" s="698" t="s">
        <v>1995</v>
      </c>
      <c r="H63" s="698" t="s">
        <v>1996</v>
      </c>
      <c r="I63" s="701">
        <v>139.05499649047852</v>
      </c>
      <c r="J63" s="701">
        <v>60</v>
      </c>
      <c r="K63" s="702">
        <v>8344.400146484375</v>
      </c>
    </row>
    <row r="64" spans="1:11" ht="14.4" customHeight="1" x14ac:dyDescent="0.3">
      <c r="A64" s="696" t="s">
        <v>505</v>
      </c>
      <c r="B64" s="697" t="s">
        <v>506</v>
      </c>
      <c r="C64" s="698" t="s">
        <v>519</v>
      </c>
      <c r="D64" s="699" t="s">
        <v>520</v>
      </c>
      <c r="E64" s="698" t="s">
        <v>1939</v>
      </c>
      <c r="F64" s="699" t="s">
        <v>1940</v>
      </c>
      <c r="G64" s="698" t="s">
        <v>1997</v>
      </c>
      <c r="H64" s="698" t="s">
        <v>1998</v>
      </c>
      <c r="I64" s="701">
        <v>5.2738462228041429</v>
      </c>
      <c r="J64" s="701">
        <v>360</v>
      </c>
      <c r="K64" s="702">
        <v>1898.6000022888184</v>
      </c>
    </row>
    <row r="65" spans="1:11" ht="14.4" customHeight="1" x14ac:dyDescent="0.3">
      <c r="A65" s="696" t="s">
        <v>505</v>
      </c>
      <c r="B65" s="697" t="s">
        <v>506</v>
      </c>
      <c r="C65" s="698" t="s">
        <v>519</v>
      </c>
      <c r="D65" s="699" t="s">
        <v>520</v>
      </c>
      <c r="E65" s="698" t="s">
        <v>1939</v>
      </c>
      <c r="F65" s="699" t="s">
        <v>1940</v>
      </c>
      <c r="G65" s="698" t="s">
        <v>1999</v>
      </c>
      <c r="H65" s="698" t="s">
        <v>2000</v>
      </c>
      <c r="I65" s="701">
        <v>5.1599998474121094</v>
      </c>
      <c r="J65" s="701">
        <v>50</v>
      </c>
      <c r="K65" s="702">
        <v>258</v>
      </c>
    </row>
    <row r="66" spans="1:11" ht="14.4" customHeight="1" x14ac:dyDescent="0.3">
      <c r="A66" s="696" t="s">
        <v>505</v>
      </c>
      <c r="B66" s="697" t="s">
        <v>506</v>
      </c>
      <c r="C66" s="698" t="s">
        <v>519</v>
      </c>
      <c r="D66" s="699" t="s">
        <v>520</v>
      </c>
      <c r="E66" s="698" t="s">
        <v>1939</v>
      </c>
      <c r="F66" s="699" t="s">
        <v>1940</v>
      </c>
      <c r="G66" s="698" t="s">
        <v>2001</v>
      </c>
      <c r="H66" s="698" t="s">
        <v>2002</v>
      </c>
      <c r="I66" s="701">
        <v>9.7779998779296875</v>
      </c>
      <c r="J66" s="701">
        <v>380</v>
      </c>
      <c r="K66" s="702">
        <v>3714.3500061035156</v>
      </c>
    </row>
    <row r="67" spans="1:11" ht="14.4" customHeight="1" x14ac:dyDescent="0.3">
      <c r="A67" s="696" t="s">
        <v>505</v>
      </c>
      <c r="B67" s="697" t="s">
        <v>506</v>
      </c>
      <c r="C67" s="698" t="s">
        <v>519</v>
      </c>
      <c r="D67" s="699" t="s">
        <v>520</v>
      </c>
      <c r="E67" s="698" t="s">
        <v>1939</v>
      </c>
      <c r="F67" s="699" t="s">
        <v>1940</v>
      </c>
      <c r="G67" s="698" t="s">
        <v>2003</v>
      </c>
      <c r="H67" s="698" t="s">
        <v>2004</v>
      </c>
      <c r="I67" s="701">
        <v>44.290000915527344</v>
      </c>
      <c r="J67" s="701">
        <v>20</v>
      </c>
      <c r="K67" s="702">
        <v>885.72998046875</v>
      </c>
    </row>
    <row r="68" spans="1:11" ht="14.4" customHeight="1" x14ac:dyDescent="0.3">
      <c r="A68" s="696" t="s">
        <v>505</v>
      </c>
      <c r="B68" s="697" t="s">
        <v>506</v>
      </c>
      <c r="C68" s="698" t="s">
        <v>519</v>
      </c>
      <c r="D68" s="699" t="s">
        <v>520</v>
      </c>
      <c r="E68" s="698" t="s">
        <v>1939</v>
      </c>
      <c r="F68" s="699" t="s">
        <v>1940</v>
      </c>
      <c r="G68" s="698" t="s">
        <v>2005</v>
      </c>
      <c r="H68" s="698" t="s">
        <v>2006</v>
      </c>
      <c r="I68" s="701">
        <v>102.69333394368489</v>
      </c>
      <c r="J68" s="701">
        <v>40</v>
      </c>
      <c r="K68" s="702">
        <v>3697.9000244140625</v>
      </c>
    </row>
    <row r="69" spans="1:11" ht="14.4" customHeight="1" x14ac:dyDescent="0.3">
      <c r="A69" s="696" t="s">
        <v>505</v>
      </c>
      <c r="B69" s="697" t="s">
        <v>506</v>
      </c>
      <c r="C69" s="698" t="s">
        <v>519</v>
      </c>
      <c r="D69" s="699" t="s">
        <v>520</v>
      </c>
      <c r="E69" s="698" t="s">
        <v>1939</v>
      </c>
      <c r="F69" s="699" t="s">
        <v>1940</v>
      </c>
      <c r="G69" s="698" t="s">
        <v>2007</v>
      </c>
      <c r="H69" s="698" t="s">
        <v>2008</v>
      </c>
      <c r="I69" s="701">
        <v>293.25</v>
      </c>
      <c r="J69" s="701">
        <v>10</v>
      </c>
      <c r="K69" s="702">
        <v>2932.5</v>
      </c>
    </row>
    <row r="70" spans="1:11" ht="14.4" customHeight="1" x14ac:dyDescent="0.3">
      <c r="A70" s="696" t="s">
        <v>505</v>
      </c>
      <c r="B70" s="697" t="s">
        <v>506</v>
      </c>
      <c r="C70" s="698" t="s">
        <v>519</v>
      </c>
      <c r="D70" s="699" t="s">
        <v>520</v>
      </c>
      <c r="E70" s="698" t="s">
        <v>1939</v>
      </c>
      <c r="F70" s="699" t="s">
        <v>1940</v>
      </c>
      <c r="G70" s="698" t="s">
        <v>2009</v>
      </c>
      <c r="H70" s="698" t="s">
        <v>2010</v>
      </c>
      <c r="I70" s="701">
        <v>188.77999877929687</v>
      </c>
      <c r="J70" s="701">
        <v>5</v>
      </c>
      <c r="K70" s="702">
        <v>943.9000244140625</v>
      </c>
    </row>
    <row r="71" spans="1:11" ht="14.4" customHeight="1" x14ac:dyDescent="0.3">
      <c r="A71" s="696" t="s">
        <v>505</v>
      </c>
      <c r="B71" s="697" t="s">
        <v>506</v>
      </c>
      <c r="C71" s="698" t="s">
        <v>519</v>
      </c>
      <c r="D71" s="699" t="s">
        <v>520</v>
      </c>
      <c r="E71" s="698" t="s">
        <v>1939</v>
      </c>
      <c r="F71" s="699" t="s">
        <v>1940</v>
      </c>
      <c r="G71" s="698" t="s">
        <v>2011</v>
      </c>
      <c r="H71" s="698" t="s">
        <v>2012</v>
      </c>
      <c r="I71" s="701">
        <v>380.8800048828125</v>
      </c>
      <c r="J71" s="701">
        <v>5</v>
      </c>
      <c r="K71" s="702">
        <v>1904.4000244140625</v>
      </c>
    </row>
    <row r="72" spans="1:11" ht="14.4" customHeight="1" x14ac:dyDescent="0.3">
      <c r="A72" s="696" t="s">
        <v>505</v>
      </c>
      <c r="B72" s="697" t="s">
        <v>506</v>
      </c>
      <c r="C72" s="698" t="s">
        <v>519</v>
      </c>
      <c r="D72" s="699" t="s">
        <v>520</v>
      </c>
      <c r="E72" s="698" t="s">
        <v>1939</v>
      </c>
      <c r="F72" s="699" t="s">
        <v>1940</v>
      </c>
      <c r="G72" s="698" t="s">
        <v>2013</v>
      </c>
      <c r="H72" s="698" t="s">
        <v>2014</v>
      </c>
      <c r="I72" s="701">
        <v>222.67428588867187</v>
      </c>
      <c r="J72" s="701">
        <v>60</v>
      </c>
      <c r="K72" s="702">
        <v>12859.909912109375</v>
      </c>
    </row>
    <row r="73" spans="1:11" ht="14.4" customHeight="1" x14ac:dyDescent="0.3">
      <c r="A73" s="696" t="s">
        <v>505</v>
      </c>
      <c r="B73" s="697" t="s">
        <v>506</v>
      </c>
      <c r="C73" s="698" t="s">
        <v>519</v>
      </c>
      <c r="D73" s="699" t="s">
        <v>520</v>
      </c>
      <c r="E73" s="698" t="s">
        <v>1939</v>
      </c>
      <c r="F73" s="699" t="s">
        <v>1940</v>
      </c>
      <c r="G73" s="698" t="s">
        <v>2015</v>
      </c>
      <c r="H73" s="698" t="s">
        <v>2016</v>
      </c>
      <c r="I73" s="701">
        <v>119.72000122070312</v>
      </c>
      <c r="J73" s="701">
        <v>15</v>
      </c>
      <c r="K73" s="702">
        <v>1596.6699829101562</v>
      </c>
    </row>
    <row r="74" spans="1:11" ht="14.4" customHeight="1" x14ac:dyDescent="0.3">
      <c r="A74" s="696" t="s">
        <v>505</v>
      </c>
      <c r="B74" s="697" t="s">
        <v>506</v>
      </c>
      <c r="C74" s="698" t="s">
        <v>519</v>
      </c>
      <c r="D74" s="699" t="s">
        <v>520</v>
      </c>
      <c r="E74" s="698" t="s">
        <v>1939</v>
      </c>
      <c r="F74" s="699" t="s">
        <v>1940</v>
      </c>
      <c r="G74" s="698" t="s">
        <v>2017</v>
      </c>
      <c r="H74" s="698" t="s">
        <v>2018</v>
      </c>
      <c r="I74" s="701">
        <v>300</v>
      </c>
      <c r="J74" s="701">
        <v>10</v>
      </c>
      <c r="K74" s="702">
        <v>3000</v>
      </c>
    </row>
    <row r="75" spans="1:11" ht="14.4" customHeight="1" x14ac:dyDescent="0.3">
      <c r="A75" s="696" t="s">
        <v>505</v>
      </c>
      <c r="B75" s="697" t="s">
        <v>506</v>
      </c>
      <c r="C75" s="698" t="s">
        <v>519</v>
      </c>
      <c r="D75" s="699" t="s">
        <v>520</v>
      </c>
      <c r="E75" s="698" t="s">
        <v>1939</v>
      </c>
      <c r="F75" s="699" t="s">
        <v>1940</v>
      </c>
      <c r="G75" s="698" t="s">
        <v>2019</v>
      </c>
      <c r="H75" s="698" t="s">
        <v>2020</v>
      </c>
      <c r="I75" s="701">
        <v>5.8400001525878906</v>
      </c>
      <c r="J75" s="701">
        <v>100</v>
      </c>
      <c r="K75" s="702">
        <v>584</v>
      </c>
    </row>
    <row r="76" spans="1:11" ht="14.4" customHeight="1" x14ac:dyDescent="0.3">
      <c r="A76" s="696" t="s">
        <v>505</v>
      </c>
      <c r="B76" s="697" t="s">
        <v>506</v>
      </c>
      <c r="C76" s="698" t="s">
        <v>519</v>
      </c>
      <c r="D76" s="699" t="s">
        <v>520</v>
      </c>
      <c r="E76" s="698" t="s">
        <v>1939</v>
      </c>
      <c r="F76" s="699" t="s">
        <v>1940</v>
      </c>
      <c r="G76" s="698" t="s">
        <v>2021</v>
      </c>
      <c r="H76" s="698" t="s">
        <v>2022</v>
      </c>
      <c r="I76" s="701">
        <v>16.969999313354492</v>
      </c>
      <c r="J76" s="701">
        <v>100</v>
      </c>
      <c r="K76" s="702">
        <v>1697</v>
      </c>
    </row>
    <row r="77" spans="1:11" ht="14.4" customHeight="1" x14ac:dyDescent="0.3">
      <c r="A77" s="696" t="s">
        <v>505</v>
      </c>
      <c r="B77" s="697" t="s">
        <v>506</v>
      </c>
      <c r="C77" s="698" t="s">
        <v>519</v>
      </c>
      <c r="D77" s="699" t="s">
        <v>520</v>
      </c>
      <c r="E77" s="698" t="s">
        <v>1939</v>
      </c>
      <c r="F77" s="699" t="s">
        <v>1940</v>
      </c>
      <c r="G77" s="698" t="s">
        <v>2023</v>
      </c>
      <c r="H77" s="698" t="s">
        <v>2024</v>
      </c>
      <c r="I77" s="701">
        <v>98.199996948242188</v>
      </c>
      <c r="J77" s="701">
        <v>96</v>
      </c>
      <c r="K77" s="702">
        <v>9427.250244140625</v>
      </c>
    </row>
    <row r="78" spans="1:11" ht="14.4" customHeight="1" x14ac:dyDescent="0.3">
      <c r="A78" s="696" t="s">
        <v>505</v>
      </c>
      <c r="B78" s="697" t="s">
        <v>506</v>
      </c>
      <c r="C78" s="698" t="s">
        <v>519</v>
      </c>
      <c r="D78" s="699" t="s">
        <v>520</v>
      </c>
      <c r="E78" s="698" t="s">
        <v>1939</v>
      </c>
      <c r="F78" s="699" t="s">
        <v>1940</v>
      </c>
      <c r="G78" s="698" t="s">
        <v>2019</v>
      </c>
      <c r="H78" s="698" t="s">
        <v>2025</v>
      </c>
      <c r="I78" s="701">
        <v>6.3000000317891436</v>
      </c>
      <c r="J78" s="701">
        <v>400</v>
      </c>
      <c r="K78" s="702">
        <v>2592</v>
      </c>
    </row>
    <row r="79" spans="1:11" ht="14.4" customHeight="1" x14ac:dyDescent="0.3">
      <c r="A79" s="696" t="s">
        <v>505</v>
      </c>
      <c r="B79" s="697" t="s">
        <v>506</v>
      </c>
      <c r="C79" s="698" t="s">
        <v>519</v>
      </c>
      <c r="D79" s="699" t="s">
        <v>520</v>
      </c>
      <c r="E79" s="698" t="s">
        <v>1939</v>
      </c>
      <c r="F79" s="699" t="s">
        <v>1940</v>
      </c>
      <c r="G79" s="698" t="s">
        <v>2026</v>
      </c>
      <c r="H79" s="698" t="s">
        <v>2027</v>
      </c>
      <c r="I79" s="701">
        <v>14.800000190734863</v>
      </c>
      <c r="J79" s="701">
        <v>100</v>
      </c>
      <c r="K79" s="702">
        <v>1480</v>
      </c>
    </row>
    <row r="80" spans="1:11" ht="14.4" customHeight="1" x14ac:dyDescent="0.3">
      <c r="A80" s="696" t="s">
        <v>505</v>
      </c>
      <c r="B80" s="697" t="s">
        <v>506</v>
      </c>
      <c r="C80" s="698" t="s">
        <v>519</v>
      </c>
      <c r="D80" s="699" t="s">
        <v>520</v>
      </c>
      <c r="E80" s="698" t="s">
        <v>1939</v>
      </c>
      <c r="F80" s="699" t="s">
        <v>1940</v>
      </c>
      <c r="G80" s="698" t="s">
        <v>2028</v>
      </c>
      <c r="H80" s="698" t="s">
        <v>2029</v>
      </c>
      <c r="I80" s="701">
        <v>99.709999084472656</v>
      </c>
      <c r="J80" s="701">
        <v>70</v>
      </c>
      <c r="K80" s="702">
        <v>6979.3499145507812</v>
      </c>
    </row>
    <row r="81" spans="1:11" ht="14.4" customHeight="1" x14ac:dyDescent="0.3">
      <c r="A81" s="696" t="s">
        <v>505</v>
      </c>
      <c r="B81" s="697" t="s">
        <v>506</v>
      </c>
      <c r="C81" s="698" t="s">
        <v>519</v>
      </c>
      <c r="D81" s="699" t="s">
        <v>520</v>
      </c>
      <c r="E81" s="698" t="s">
        <v>1939</v>
      </c>
      <c r="F81" s="699" t="s">
        <v>1940</v>
      </c>
      <c r="G81" s="698" t="s">
        <v>2030</v>
      </c>
      <c r="H81" s="698" t="s">
        <v>2031</v>
      </c>
      <c r="I81" s="701">
        <v>124.55000305175781</v>
      </c>
      <c r="J81" s="701">
        <v>110</v>
      </c>
      <c r="K81" s="702">
        <v>13699.99951171875</v>
      </c>
    </row>
    <row r="82" spans="1:11" ht="14.4" customHeight="1" x14ac:dyDescent="0.3">
      <c r="A82" s="696" t="s">
        <v>505</v>
      </c>
      <c r="B82" s="697" t="s">
        <v>506</v>
      </c>
      <c r="C82" s="698" t="s">
        <v>519</v>
      </c>
      <c r="D82" s="699" t="s">
        <v>520</v>
      </c>
      <c r="E82" s="698" t="s">
        <v>1939</v>
      </c>
      <c r="F82" s="699" t="s">
        <v>1940</v>
      </c>
      <c r="G82" s="698" t="s">
        <v>2032</v>
      </c>
      <c r="H82" s="698" t="s">
        <v>2033</v>
      </c>
      <c r="I82" s="701">
        <v>286.35250091552734</v>
      </c>
      <c r="J82" s="701">
        <v>20</v>
      </c>
      <c r="K82" s="702">
        <v>5727.050048828125</v>
      </c>
    </row>
    <row r="83" spans="1:11" ht="14.4" customHeight="1" x14ac:dyDescent="0.3">
      <c r="A83" s="696" t="s">
        <v>505</v>
      </c>
      <c r="B83" s="697" t="s">
        <v>506</v>
      </c>
      <c r="C83" s="698" t="s">
        <v>519</v>
      </c>
      <c r="D83" s="699" t="s">
        <v>520</v>
      </c>
      <c r="E83" s="698" t="s">
        <v>1939</v>
      </c>
      <c r="F83" s="699" t="s">
        <v>1940</v>
      </c>
      <c r="G83" s="698" t="s">
        <v>2034</v>
      </c>
      <c r="H83" s="698" t="s">
        <v>2035</v>
      </c>
      <c r="I83" s="701">
        <v>2.1800000667572021</v>
      </c>
      <c r="J83" s="701">
        <v>200</v>
      </c>
      <c r="K83" s="702">
        <v>436</v>
      </c>
    </row>
    <row r="84" spans="1:11" ht="14.4" customHeight="1" x14ac:dyDescent="0.3">
      <c r="A84" s="696" t="s">
        <v>505</v>
      </c>
      <c r="B84" s="697" t="s">
        <v>506</v>
      </c>
      <c r="C84" s="698" t="s">
        <v>519</v>
      </c>
      <c r="D84" s="699" t="s">
        <v>520</v>
      </c>
      <c r="E84" s="698" t="s">
        <v>1939</v>
      </c>
      <c r="F84" s="699" t="s">
        <v>1940</v>
      </c>
      <c r="G84" s="698" t="s">
        <v>2034</v>
      </c>
      <c r="H84" s="698" t="s">
        <v>2036</v>
      </c>
      <c r="I84" s="701">
        <v>2.190000057220459</v>
      </c>
      <c r="J84" s="701">
        <v>20</v>
      </c>
      <c r="K84" s="702">
        <v>43.799999237060547</v>
      </c>
    </row>
    <row r="85" spans="1:11" ht="14.4" customHeight="1" x14ac:dyDescent="0.3">
      <c r="A85" s="696" t="s">
        <v>505</v>
      </c>
      <c r="B85" s="697" t="s">
        <v>506</v>
      </c>
      <c r="C85" s="698" t="s">
        <v>519</v>
      </c>
      <c r="D85" s="699" t="s">
        <v>520</v>
      </c>
      <c r="E85" s="698" t="s">
        <v>1939</v>
      </c>
      <c r="F85" s="699" t="s">
        <v>1940</v>
      </c>
      <c r="G85" s="698" t="s">
        <v>2037</v>
      </c>
      <c r="H85" s="698" t="s">
        <v>2038</v>
      </c>
      <c r="I85" s="701">
        <v>5.6349999904632568</v>
      </c>
      <c r="J85" s="701">
        <v>100</v>
      </c>
      <c r="K85" s="702">
        <v>563.5</v>
      </c>
    </row>
    <row r="86" spans="1:11" ht="14.4" customHeight="1" x14ac:dyDescent="0.3">
      <c r="A86" s="696" t="s">
        <v>505</v>
      </c>
      <c r="B86" s="697" t="s">
        <v>506</v>
      </c>
      <c r="C86" s="698" t="s">
        <v>519</v>
      </c>
      <c r="D86" s="699" t="s">
        <v>520</v>
      </c>
      <c r="E86" s="698" t="s">
        <v>1939</v>
      </c>
      <c r="F86" s="699" t="s">
        <v>1940</v>
      </c>
      <c r="G86" s="698" t="s">
        <v>2034</v>
      </c>
      <c r="H86" s="698" t="s">
        <v>2039</v>
      </c>
      <c r="I86" s="701">
        <v>2.190000057220459</v>
      </c>
      <c r="J86" s="701">
        <v>20</v>
      </c>
      <c r="K86" s="702">
        <v>43.799999237060547</v>
      </c>
    </row>
    <row r="87" spans="1:11" ht="14.4" customHeight="1" x14ac:dyDescent="0.3">
      <c r="A87" s="696" t="s">
        <v>505</v>
      </c>
      <c r="B87" s="697" t="s">
        <v>506</v>
      </c>
      <c r="C87" s="698" t="s">
        <v>519</v>
      </c>
      <c r="D87" s="699" t="s">
        <v>520</v>
      </c>
      <c r="E87" s="698" t="s">
        <v>1939</v>
      </c>
      <c r="F87" s="699" t="s">
        <v>1940</v>
      </c>
      <c r="G87" s="698" t="s">
        <v>2040</v>
      </c>
      <c r="H87" s="698" t="s">
        <v>2041</v>
      </c>
      <c r="I87" s="701">
        <v>1.3799999952316284</v>
      </c>
      <c r="J87" s="701">
        <v>800</v>
      </c>
      <c r="K87" s="702">
        <v>1104</v>
      </c>
    </row>
    <row r="88" spans="1:11" ht="14.4" customHeight="1" x14ac:dyDescent="0.3">
      <c r="A88" s="696" t="s">
        <v>505</v>
      </c>
      <c r="B88" s="697" t="s">
        <v>506</v>
      </c>
      <c r="C88" s="698" t="s">
        <v>519</v>
      </c>
      <c r="D88" s="699" t="s">
        <v>520</v>
      </c>
      <c r="E88" s="698" t="s">
        <v>1939</v>
      </c>
      <c r="F88" s="699" t="s">
        <v>1940</v>
      </c>
      <c r="G88" s="698" t="s">
        <v>2042</v>
      </c>
      <c r="H88" s="698" t="s">
        <v>2043</v>
      </c>
      <c r="I88" s="701">
        <v>0.85538463409130394</v>
      </c>
      <c r="J88" s="701">
        <v>3700</v>
      </c>
      <c r="K88" s="702">
        <v>3165</v>
      </c>
    </row>
    <row r="89" spans="1:11" ht="14.4" customHeight="1" x14ac:dyDescent="0.3">
      <c r="A89" s="696" t="s">
        <v>505</v>
      </c>
      <c r="B89" s="697" t="s">
        <v>506</v>
      </c>
      <c r="C89" s="698" t="s">
        <v>519</v>
      </c>
      <c r="D89" s="699" t="s">
        <v>520</v>
      </c>
      <c r="E89" s="698" t="s">
        <v>1939</v>
      </c>
      <c r="F89" s="699" t="s">
        <v>1940</v>
      </c>
      <c r="G89" s="698" t="s">
        <v>2044</v>
      </c>
      <c r="H89" s="698" t="s">
        <v>2045</v>
      </c>
      <c r="I89" s="701">
        <v>1.5164285557610648</v>
      </c>
      <c r="J89" s="701">
        <v>2400</v>
      </c>
      <c r="K89" s="702">
        <v>3638.0999908447266</v>
      </c>
    </row>
    <row r="90" spans="1:11" ht="14.4" customHeight="1" x14ac:dyDescent="0.3">
      <c r="A90" s="696" t="s">
        <v>505</v>
      </c>
      <c r="B90" s="697" t="s">
        <v>506</v>
      </c>
      <c r="C90" s="698" t="s">
        <v>519</v>
      </c>
      <c r="D90" s="699" t="s">
        <v>520</v>
      </c>
      <c r="E90" s="698" t="s">
        <v>1939</v>
      </c>
      <c r="F90" s="699" t="s">
        <v>1940</v>
      </c>
      <c r="G90" s="698" t="s">
        <v>2046</v>
      </c>
      <c r="H90" s="698" t="s">
        <v>2047</v>
      </c>
      <c r="I90" s="701">
        <v>2.06333327293396</v>
      </c>
      <c r="J90" s="701">
        <v>1000</v>
      </c>
      <c r="K90" s="702">
        <v>2063.25</v>
      </c>
    </row>
    <row r="91" spans="1:11" ht="14.4" customHeight="1" x14ac:dyDescent="0.3">
      <c r="A91" s="696" t="s">
        <v>505</v>
      </c>
      <c r="B91" s="697" t="s">
        <v>506</v>
      </c>
      <c r="C91" s="698" t="s">
        <v>519</v>
      </c>
      <c r="D91" s="699" t="s">
        <v>520</v>
      </c>
      <c r="E91" s="698" t="s">
        <v>1939</v>
      </c>
      <c r="F91" s="699" t="s">
        <v>1940</v>
      </c>
      <c r="G91" s="698" t="s">
        <v>2048</v>
      </c>
      <c r="H91" s="698" t="s">
        <v>2049</v>
      </c>
      <c r="I91" s="701">
        <v>3.3624998927116394</v>
      </c>
      <c r="J91" s="701">
        <v>350</v>
      </c>
      <c r="K91" s="702">
        <v>1176.5</v>
      </c>
    </row>
    <row r="92" spans="1:11" ht="14.4" customHeight="1" x14ac:dyDescent="0.3">
      <c r="A92" s="696" t="s">
        <v>505</v>
      </c>
      <c r="B92" s="697" t="s">
        <v>506</v>
      </c>
      <c r="C92" s="698" t="s">
        <v>519</v>
      </c>
      <c r="D92" s="699" t="s">
        <v>520</v>
      </c>
      <c r="E92" s="698" t="s">
        <v>1939</v>
      </c>
      <c r="F92" s="699" t="s">
        <v>1940</v>
      </c>
      <c r="G92" s="698" t="s">
        <v>2050</v>
      </c>
      <c r="H92" s="698" t="s">
        <v>2051</v>
      </c>
      <c r="I92" s="701">
        <v>9.2930000305175788</v>
      </c>
      <c r="J92" s="701">
        <v>600</v>
      </c>
      <c r="K92" s="702">
        <v>5576.3399963378906</v>
      </c>
    </row>
    <row r="93" spans="1:11" ht="14.4" customHeight="1" x14ac:dyDescent="0.3">
      <c r="A93" s="696" t="s">
        <v>505</v>
      </c>
      <c r="B93" s="697" t="s">
        <v>506</v>
      </c>
      <c r="C93" s="698" t="s">
        <v>519</v>
      </c>
      <c r="D93" s="699" t="s">
        <v>520</v>
      </c>
      <c r="E93" s="698" t="s">
        <v>1939</v>
      </c>
      <c r="F93" s="699" t="s">
        <v>1940</v>
      </c>
      <c r="G93" s="698" t="s">
        <v>2052</v>
      </c>
      <c r="H93" s="698" t="s">
        <v>2053</v>
      </c>
      <c r="I93" s="701">
        <v>8.119999885559082</v>
      </c>
      <c r="J93" s="701">
        <v>212</v>
      </c>
      <c r="K93" s="702">
        <v>1721.4400329589844</v>
      </c>
    </row>
    <row r="94" spans="1:11" ht="14.4" customHeight="1" x14ac:dyDescent="0.3">
      <c r="A94" s="696" t="s">
        <v>505</v>
      </c>
      <c r="B94" s="697" t="s">
        <v>506</v>
      </c>
      <c r="C94" s="698" t="s">
        <v>519</v>
      </c>
      <c r="D94" s="699" t="s">
        <v>520</v>
      </c>
      <c r="E94" s="698" t="s">
        <v>1939</v>
      </c>
      <c r="F94" s="699" t="s">
        <v>1940</v>
      </c>
      <c r="G94" s="698" t="s">
        <v>2054</v>
      </c>
      <c r="H94" s="698" t="s">
        <v>2055</v>
      </c>
      <c r="I94" s="701">
        <v>67.760002136230469</v>
      </c>
      <c r="J94" s="701">
        <v>37</v>
      </c>
      <c r="K94" s="702">
        <v>2507.1199645996094</v>
      </c>
    </row>
    <row r="95" spans="1:11" ht="14.4" customHeight="1" x14ac:dyDescent="0.3">
      <c r="A95" s="696" t="s">
        <v>505</v>
      </c>
      <c r="B95" s="697" t="s">
        <v>506</v>
      </c>
      <c r="C95" s="698" t="s">
        <v>519</v>
      </c>
      <c r="D95" s="699" t="s">
        <v>520</v>
      </c>
      <c r="E95" s="698" t="s">
        <v>1939</v>
      </c>
      <c r="F95" s="699" t="s">
        <v>1940</v>
      </c>
      <c r="G95" s="698" t="s">
        <v>2056</v>
      </c>
      <c r="H95" s="698" t="s">
        <v>2057</v>
      </c>
      <c r="I95" s="701">
        <v>46</v>
      </c>
      <c r="J95" s="701">
        <v>11</v>
      </c>
      <c r="K95" s="702">
        <v>506</v>
      </c>
    </row>
    <row r="96" spans="1:11" ht="14.4" customHeight="1" x14ac:dyDescent="0.3">
      <c r="A96" s="696" t="s">
        <v>505</v>
      </c>
      <c r="B96" s="697" t="s">
        <v>506</v>
      </c>
      <c r="C96" s="698" t="s">
        <v>519</v>
      </c>
      <c r="D96" s="699" t="s">
        <v>520</v>
      </c>
      <c r="E96" s="698" t="s">
        <v>1939</v>
      </c>
      <c r="F96" s="699" t="s">
        <v>1940</v>
      </c>
      <c r="G96" s="698" t="s">
        <v>2058</v>
      </c>
      <c r="H96" s="698" t="s">
        <v>2059</v>
      </c>
      <c r="I96" s="701">
        <v>26.170000076293945</v>
      </c>
      <c r="J96" s="701">
        <v>3</v>
      </c>
      <c r="K96" s="702">
        <v>78.510002136230469</v>
      </c>
    </row>
    <row r="97" spans="1:11" ht="14.4" customHeight="1" x14ac:dyDescent="0.3">
      <c r="A97" s="696" t="s">
        <v>505</v>
      </c>
      <c r="B97" s="697" t="s">
        <v>506</v>
      </c>
      <c r="C97" s="698" t="s">
        <v>519</v>
      </c>
      <c r="D97" s="699" t="s">
        <v>520</v>
      </c>
      <c r="E97" s="698" t="s">
        <v>1939</v>
      </c>
      <c r="F97" s="699" t="s">
        <v>1940</v>
      </c>
      <c r="G97" s="698" t="s">
        <v>2060</v>
      </c>
      <c r="H97" s="698" t="s">
        <v>2061</v>
      </c>
      <c r="I97" s="701">
        <v>46.315714699881418</v>
      </c>
      <c r="J97" s="701">
        <v>30</v>
      </c>
      <c r="K97" s="702">
        <v>1389.4199829101562</v>
      </c>
    </row>
    <row r="98" spans="1:11" ht="14.4" customHeight="1" x14ac:dyDescent="0.3">
      <c r="A98" s="696" t="s">
        <v>505</v>
      </c>
      <c r="B98" s="697" t="s">
        <v>506</v>
      </c>
      <c r="C98" s="698" t="s">
        <v>519</v>
      </c>
      <c r="D98" s="699" t="s">
        <v>520</v>
      </c>
      <c r="E98" s="698" t="s">
        <v>1939</v>
      </c>
      <c r="F98" s="699" t="s">
        <v>1940</v>
      </c>
      <c r="G98" s="698" t="s">
        <v>2062</v>
      </c>
      <c r="H98" s="698" t="s">
        <v>2063</v>
      </c>
      <c r="I98" s="701">
        <v>8.3999996185302734</v>
      </c>
      <c r="J98" s="701">
        <v>96</v>
      </c>
      <c r="K98" s="702">
        <v>806.39999389648437</v>
      </c>
    </row>
    <row r="99" spans="1:11" ht="14.4" customHeight="1" x14ac:dyDescent="0.3">
      <c r="A99" s="696" t="s">
        <v>505</v>
      </c>
      <c r="B99" s="697" t="s">
        <v>506</v>
      </c>
      <c r="C99" s="698" t="s">
        <v>519</v>
      </c>
      <c r="D99" s="699" t="s">
        <v>520</v>
      </c>
      <c r="E99" s="698" t="s">
        <v>1939</v>
      </c>
      <c r="F99" s="699" t="s">
        <v>1940</v>
      </c>
      <c r="G99" s="698" t="s">
        <v>2064</v>
      </c>
      <c r="H99" s="698" t="s">
        <v>2065</v>
      </c>
      <c r="I99" s="701">
        <v>7.630000114440918</v>
      </c>
      <c r="J99" s="701">
        <v>396</v>
      </c>
      <c r="K99" s="702">
        <v>3021.4799194335937</v>
      </c>
    </row>
    <row r="100" spans="1:11" ht="14.4" customHeight="1" x14ac:dyDescent="0.3">
      <c r="A100" s="696" t="s">
        <v>505</v>
      </c>
      <c r="B100" s="697" t="s">
        <v>506</v>
      </c>
      <c r="C100" s="698" t="s">
        <v>519</v>
      </c>
      <c r="D100" s="699" t="s">
        <v>520</v>
      </c>
      <c r="E100" s="698" t="s">
        <v>1939</v>
      </c>
      <c r="F100" s="699" t="s">
        <v>1940</v>
      </c>
      <c r="G100" s="698" t="s">
        <v>2066</v>
      </c>
      <c r="H100" s="698" t="s">
        <v>2067</v>
      </c>
      <c r="I100" s="701">
        <v>12.920000076293945</v>
      </c>
      <c r="J100" s="701">
        <v>120</v>
      </c>
      <c r="K100" s="702">
        <v>1552.3200073242187</v>
      </c>
    </row>
    <row r="101" spans="1:11" ht="14.4" customHeight="1" x14ac:dyDescent="0.3">
      <c r="A101" s="696" t="s">
        <v>505</v>
      </c>
      <c r="B101" s="697" t="s">
        <v>506</v>
      </c>
      <c r="C101" s="698" t="s">
        <v>519</v>
      </c>
      <c r="D101" s="699" t="s">
        <v>520</v>
      </c>
      <c r="E101" s="698" t="s">
        <v>1939</v>
      </c>
      <c r="F101" s="699" t="s">
        <v>1940</v>
      </c>
      <c r="G101" s="698" t="s">
        <v>2068</v>
      </c>
      <c r="H101" s="698" t="s">
        <v>2069</v>
      </c>
      <c r="I101" s="701">
        <v>18.888749361038208</v>
      </c>
      <c r="J101" s="701">
        <v>372</v>
      </c>
      <c r="K101" s="702">
        <v>7026.6100769042969</v>
      </c>
    </row>
    <row r="102" spans="1:11" ht="14.4" customHeight="1" x14ac:dyDescent="0.3">
      <c r="A102" s="696" t="s">
        <v>505</v>
      </c>
      <c r="B102" s="697" t="s">
        <v>506</v>
      </c>
      <c r="C102" s="698" t="s">
        <v>519</v>
      </c>
      <c r="D102" s="699" t="s">
        <v>520</v>
      </c>
      <c r="E102" s="698" t="s">
        <v>1939</v>
      </c>
      <c r="F102" s="699" t="s">
        <v>1940</v>
      </c>
      <c r="G102" s="698" t="s">
        <v>2070</v>
      </c>
      <c r="H102" s="698" t="s">
        <v>2071</v>
      </c>
      <c r="I102" s="701">
        <v>25.554999351501465</v>
      </c>
      <c r="J102" s="701">
        <v>96</v>
      </c>
      <c r="K102" s="702">
        <v>2453.3699951171875</v>
      </c>
    </row>
    <row r="103" spans="1:11" ht="14.4" customHeight="1" x14ac:dyDescent="0.3">
      <c r="A103" s="696" t="s">
        <v>505</v>
      </c>
      <c r="B103" s="697" t="s">
        <v>506</v>
      </c>
      <c r="C103" s="698" t="s">
        <v>519</v>
      </c>
      <c r="D103" s="699" t="s">
        <v>520</v>
      </c>
      <c r="E103" s="698" t="s">
        <v>1939</v>
      </c>
      <c r="F103" s="699" t="s">
        <v>1940</v>
      </c>
      <c r="G103" s="698" t="s">
        <v>2072</v>
      </c>
      <c r="H103" s="698" t="s">
        <v>2073</v>
      </c>
      <c r="I103" s="701">
        <v>7.5900001525878906</v>
      </c>
      <c r="J103" s="701">
        <v>50</v>
      </c>
      <c r="K103" s="702">
        <v>379.50000762939453</v>
      </c>
    </row>
    <row r="104" spans="1:11" ht="14.4" customHeight="1" x14ac:dyDescent="0.3">
      <c r="A104" s="696" t="s">
        <v>505</v>
      </c>
      <c r="B104" s="697" t="s">
        <v>506</v>
      </c>
      <c r="C104" s="698" t="s">
        <v>519</v>
      </c>
      <c r="D104" s="699" t="s">
        <v>520</v>
      </c>
      <c r="E104" s="698" t="s">
        <v>1939</v>
      </c>
      <c r="F104" s="699" t="s">
        <v>1940</v>
      </c>
      <c r="G104" s="698" t="s">
        <v>2074</v>
      </c>
      <c r="H104" s="698" t="s">
        <v>2075</v>
      </c>
      <c r="I104" s="701">
        <v>8.6260000228881832</v>
      </c>
      <c r="J104" s="701">
        <v>150</v>
      </c>
      <c r="K104" s="702">
        <v>1293.8999938964844</v>
      </c>
    </row>
    <row r="105" spans="1:11" ht="14.4" customHeight="1" x14ac:dyDescent="0.3">
      <c r="A105" s="696" t="s">
        <v>505</v>
      </c>
      <c r="B105" s="697" t="s">
        <v>506</v>
      </c>
      <c r="C105" s="698" t="s">
        <v>519</v>
      </c>
      <c r="D105" s="699" t="s">
        <v>520</v>
      </c>
      <c r="E105" s="698" t="s">
        <v>1939</v>
      </c>
      <c r="F105" s="699" t="s">
        <v>1940</v>
      </c>
      <c r="G105" s="698" t="s">
        <v>2076</v>
      </c>
      <c r="H105" s="698" t="s">
        <v>2077</v>
      </c>
      <c r="I105" s="701">
        <v>10.522727532820268</v>
      </c>
      <c r="J105" s="701">
        <v>240</v>
      </c>
      <c r="K105" s="702">
        <v>2525.4000091552734</v>
      </c>
    </row>
    <row r="106" spans="1:11" ht="14.4" customHeight="1" x14ac:dyDescent="0.3">
      <c r="A106" s="696" t="s">
        <v>505</v>
      </c>
      <c r="B106" s="697" t="s">
        <v>506</v>
      </c>
      <c r="C106" s="698" t="s">
        <v>519</v>
      </c>
      <c r="D106" s="699" t="s">
        <v>520</v>
      </c>
      <c r="E106" s="698" t="s">
        <v>1939</v>
      </c>
      <c r="F106" s="699" t="s">
        <v>1940</v>
      </c>
      <c r="G106" s="698" t="s">
        <v>2078</v>
      </c>
      <c r="H106" s="698" t="s">
        <v>2079</v>
      </c>
      <c r="I106" s="701">
        <v>13.223000049591064</v>
      </c>
      <c r="J106" s="701">
        <v>230</v>
      </c>
      <c r="K106" s="702">
        <v>3041.2999877929687</v>
      </c>
    </row>
    <row r="107" spans="1:11" ht="14.4" customHeight="1" x14ac:dyDescent="0.3">
      <c r="A107" s="696" t="s">
        <v>505</v>
      </c>
      <c r="B107" s="697" t="s">
        <v>506</v>
      </c>
      <c r="C107" s="698" t="s">
        <v>519</v>
      </c>
      <c r="D107" s="699" t="s">
        <v>520</v>
      </c>
      <c r="E107" s="698" t="s">
        <v>1939</v>
      </c>
      <c r="F107" s="699" t="s">
        <v>1940</v>
      </c>
      <c r="G107" s="698" t="s">
        <v>2080</v>
      </c>
      <c r="H107" s="698" t="s">
        <v>2081</v>
      </c>
      <c r="I107" s="701">
        <v>2.5099999904632568</v>
      </c>
      <c r="J107" s="701">
        <v>40</v>
      </c>
      <c r="K107" s="702">
        <v>100.40000152587891</v>
      </c>
    </row>
    <row r="108" spans="1:11" ht="14.4" customHeight="1" x14ac:dyDescent="0.3">
      <c r="A108" s="696" t="s">
        <v>505</v>
      </c>
      <c r="B108" s="697" t="s">
        <v>506</v>
      </c>
      <c r="C108" s="698" t="s">
        <v>519</v>
      </c>
      <c r="D108" s="699" t="s">
        <v>520</v>
      </c>
      <c r="E108" s="698" t="s">
        <v>1939</v>
      </c>
      <c r="F108" s="699" t="s">
        <v>1940</v>
      </c>
      <c r="G108" s="698" t="s">
        <v>2082</v>
      </c>
      <c r="H108" s="698" t="s">
        <v>2083</v>
      </c>
      <c r="I108" s="701">
        <v>3.2699999809265137</v>
      </c>
      <c r="J108" s="701">
        <v>40</v>
      </c>
      <c r="K108" s="702">
        <v>130.80000305175781</v>
      </c>
    </row>
    <row r="109" spans="1:11" ht="14.4" customHeight="1" x14ac:dyDescent="0.3">
      <c r="A109" s="696" t="s">
        <v>505</v>
      </c>
      <c r="B109" s="697" t="s">
        <v>506</v>
      </c>
      <c r="C109" s="698" t="s">
        <v>519</v>
      </c>
      <c r="D109" s="699" t="s">
        <v>520</v>
      </c>
      <c r="E109" s="698" t="s">
        <v>1939</v>
      </c>
      <c r="F109" s="699" t="s">
        <v>1940</v>
      </c>
      <c r="G109" s="698" t="s">
        <v>2084</v>
      </c>
      <c r="H109" s="698" t="s">
        <v>2085</v>
      </c>
      <c r="I109" s="701">
        <v>3.9700000286102295</v>
      </c>
      <c r="J109" s="701">
        <v>100</v>
      </c>
      <c r="K109" s="702">
        <v>397.00000762939453</v>
      </c>
    </row>
    <row r="110" spans="1:11" ht="14.4" customHeight="1" x14ac:dyDescent="0.3">
      <c r="A110" s="696" t="s">
        <v>505</v>
      </c>
      <c r="B110" s="697" t="s">
        <v>506</v>
      </c>
      <c r="C110" s="698" t="s">
        <v>519</v>
      </c>
      <c r="D110" s="699" t="s">
        <v>520</v>
      </c>
      <c r="E110" s="698" t="s">
        <v>1939</v>
      </c>
      <c r="F110" s="699" t="s">
        <v>1940</v>
      </c>
      <c r="G110" s="698" t="s">
        <v>2086</v>
      </c>
      <c r="H110" s="698" t="s">
        <v>2087</v>
      </c>
      <c r="I110" s="701">
        <v>4.309999942779541</v>
      </c>
      <c r="J110" s="701">
        <v>60</v>
      </c>
      <c r="K110" s="702">
        <v>258.60000610351562</v>
      </c>
    </row>
    <row r="111" spans="1:11" ht="14.4" customHeight="1" x14ac:dyDescent="0.3">
      <c r="A111" s="696" t="s">
        <v>505</v>
      </c>
      <c r="B111" s="697" t="s">
        <v>506</v>
      </c>
      <c r="C111" s="698" t="s">
        <v>519</v>
      </c>
      <c r="D111" s="699" t="s">
        <v>520</v>
      </c>
      <c r="E111" s="698" t="s">
        <v>1939</v>
      </c>
      <c r="F111" s="699" t="s">
        <v>1940</v>
      </c>
      <c r="G111" s="698" t="s">
        <v>2088</v>
      </c>
      <c r="H111" s="698" t="s">
        <v>2089</v>
      </c>
      <c r="I111" s="701">
        <v>15.640000343322754</v>
      </c>
      <c r="J111" s="701">
        <v>10</v>
      </c>
      <c r="K111" s="702">
        <v>156.39999389648437</v>
      </c>
    </row>
    <row r="112" spans="1:11" ht="14.4" customHeight="1" x14ac:dyDescent="0.3">
      <c r="A112" s="696" t="s">
        <v>505</v>
      </c>
      <c r="B112" s="697" t="s">
        <v>506</v>
      </c>
      <c r="C112" s="698" t="s">
        <v>519</v>
      </c>
      <c r="D112" s="699" t="s">
        <v>520</v>
      </c>
      <c r="E112" s="698" t="s">
        <v>1939</v>
      </c>
      <c r="F112" s="699" t="s">
        <v>1940</v>
      </c>
      <c r="G112" s="698" t="s">
        <v>2090</v>
      </c>
      <c r="H112" s="698" t="s">
        <v>2091</v>
      </c>
      <c r="I112" s="701">
        <v>17.139999389648438</v>
      </c>
      <c r="J112" s="701">
        <v>10</v>
      </c>
      <c r="K112" s="702">
        <v>171.35000610351562</v>
      </c>
    </row>
    <row r="113" spans="1:11" ht="14.4" customHeight="1" x14ac:dyDescent="0.3">
      <c r="A113" s="696" t="s">
        <v>505</v>
      </c>
      <c r="B113" s="697" t="s">
        <v>506</v>
      </c>
      <c r="C113" s="698" t="s">
        <v>519</v>
      </c>
      <c r="D113" s="699" t="s">
        <v>520</v>
      </c>
      <c r="E113" s="698" t="s">
        <v>1939</v>
      </c>
      <c r="F113" s="699" t="s">
        <v>1940</v>
      </c>
      <c r="G113" s="698" t="s">
        <v>2092</v>
      </c>
      <c r="H113" s="698" t="s">
        <v>2093</v>
      </c>
      <c r="I113" s="701">
        <v>12.649999618530273</v>
      </c>
      <c r="J113" s="701">
        <v>15</v>
      </c>
      <c r="K113" s="702">
        <v>189.75</v>
      </c>
    </row>
    <row r="114" spans="1:11" ht="14.4" customHeight="1" x14ac:dyDescent="0.3">
      <c r="A114" s="696" t="s">
        <v>505</v>
      </c>
      <c r="B114" s="697" t="s">
        <v>506</v>
      </c>
      <c r="C114" s="698" t="s">
        <v>519</v>
      </c>
      <c r="D114" s="699" t="s">
        <v>520</v>
      </c>
      <c r="E114" s="698" t="s">
        <v>1939</v>
      </c>
      <c r="F114" s="699" t="s">
        <v>1940</v>
      </c>
      <c r="G114" s="698" t="s">
        <v>2094</v>
      </c>
      <c r="H114" s="698" t="s">
        <v>2095</v>
      </c>
      <c r="I114" s="701">
        <v>11.5</v>
      </c>
      <c r="J114" s="701">
        <v>15</v>
      </c>
      <c r="K114" s="702">
        <v>172.5</v>
      </c>
    </row>
    <row r="115" spans="1:11" ht="14.4" customHeight="1" x14ac:dyDescent="0.3">
      <c r="A115" s="696" t="s">
        <v>505</v>
      </c>
      <c r="B115" s="697" t="s">
        <v>506</v>
      </c>
      <c r="C115" s="698" t="s">
        <v>519</v>
      </c>
      <c r="D115" s="699" t="s">
        <v>520</v>
      </c>
      <c r="E115" s="698" t="s">
        <v>1939</v>
      </c>
      <c r="F115" s="699" t="s">
        <v>1940</v>
      </c>
      <c r="G115" s="698" t="s">
        <v>2096</v>
      </c>
      <c r="H115" s="698" t="s">
        <v>2097</v>
      </c>
      <c r="I115" s="701">
        <v>174.22999572753906</v>
      </c>
      <c r="J115" s="701">
        <v>1</v>
      </c>
      <c r="K115" s="702">
        <v>174.22999572753906</v>
      </c>
    </row>
    <row r="116" spans="1:11" ht="14.4" customHeight="1" x14ac:dyDescent="0.3">
      <c r="A116" s="696" t="s">
        <v>505</v>
      </c>
      <c r="B116" s="697" t="s">
        <v>506</v>
      </c>
      <c r="C116" s="698" t="s">
        <v>519</v>
      </c>
      <c r="D116" s="699" t="s">
        <v>520</v>
      </c>
      <c r="E116" s="698" t="s">
        <v>1939</v>
      </c>
      <c r="F116" s="699" t="s">
        <v>1940</v>
      </c>
      <c r="G116" s="698" t="s">
        <v>2098</v>
      </c>
      <c r="H116" s="698" t="s">
        <v>2099</v>
      </c>
      <c r="I116" s="701">
        <v>314.82000732421875</v>
      </c>
      <c r="J116" s="701">
        <v>2</v>
      </c>
      <c r="K116" s="702">
        <v>629.6300048828125</v>
      </c>
    </row>
    <row r="117" spans="1:11" ht="14.4" customHeight="1" x14ac:dyDescent="0.3">
      <c r="A117" s="696" t="s">
        <v>505</v>
      </c>
      <c r="B117" s="697" t="s">
        <v>506</v>
      </c>
      <c r="C117" s="698" t="s">
        <v>519</v>
      </c>
      <c r="D117" s="699" t="s">
        <v>520</v>
      </c>
      <c r="E117" s="698" t="s">
        <v>1939</v>
      </c>
      <c r="F117" s="699" t="s">
        <v>1940</v>
      </c>
      <c r="G117" s="698" t="s">
        <v>2100</v>
      </c>
      <c r="H117" s="698" t="s">
        <v>2101</v>
      </c>
      <c r="I117" s="701">
        <v>314.82000732421875</v>
      </c>
      <c r="J117" s="701">
        <v>2</v>
      </c>
      <c r="K117" s="702">
        <v>629.6300048828125</v>
      </c>
    </row>
    <row r="118" spans="1:11" ht="14.4" customHeight="1" x14ac:dyDescent="0.3">
      <c r="A118" s="696" t="s">
        <v>505</v>
      </c>
      <c r="B118" s="697" t="s">
        <v>506</v>
      </c>
      <c r="C118" s="698" t="s">
        <v>519</v>
      </c>
      <c r="D118" s="699" t="s">
        <v>520</v>
      </c>
      <c r="E118" s="698" t="s">
        <v>1939</v>
      </c>
      <c r="F118" s="699" t="s">
        <v>1940</v>
      </c>
      <c r="G118" s="698" t="s">
        <v>2102</v>
      </c>
      <c r="H118" s="698" t="s">
        <v>2103</v>
      </c>
      <c r="I118" s="701">
        <v>685.05999755859375</v>
      </c>
      <c r="J118" s="701">
        <v>5</v>
      </c>
      <c r="K118" s="702">
        <v>3425.300048828125</v>
      </c>
    </row>
    <row r="119" spans="1:11" ht="14.4" customHeight="1" x14ac:dyDescent="0.3">
      <c r="A119" s="696" t="s">
        <v>505</v>
      </c>
      <c r="B119" s="697" t="s">
        <v>506</v>
      </c>
      <c r="C119" s="698" t="s">
        <v>519</v>
      </c>
      <c r="D119" s="699" t="s">
        <v>520</v>
      </c>
      <c r="E119" s="698" t="s">
        <v>1939</v>
      </c>
      <c r="F119" s="699" t="s">
        <v>1940</v>
      </c>
      <c r="G119" s="698" t="s">
        <v>2104</v>
      </c>
      <c r="H119" s="698" t="s">
        <v>2105</v>
      </c>
      <c r="I119" s="701">
        <v>899.84002685546875</v>
      </c>
      <c r="J119" s="701">
        <v>6</v>
      </c>
      <c r="K119" s="702">
        <v>5399.0400390625</v>
      </c>
    </row>
    <row r="120" spans="1:11" ht="14.4" customHeight="1" x14ac:dyDescent="0.3">
      <c r="A120" s="696" t="s">
        <v>505</v>
      </c>
      <c r="B120" s="697" t="s">
        <v>506</v>
      </c>
      <c r="C120" s="698" t="s">
        <v>519</v>
      </c>
      <c r="D120" s="699" t="s">
        <v>520</v>
      </c>
      <c r="E120" s="698" t="s">
        <v>1939</v>
      </c>
      <c r="F120" s="699" t="s">
        <v>1940</v>
      </c>
      <c r="G120" s="698" t="s">
        <v>2106</v>
      </c>
      <c r="H120" s="698" t="s">
        <v>2107</v>
      </c>
      <c r="I120" s="701">
        <v>1083.8800048828125</v>
      </c>
      <c r="J120" s="701">
        <v>9</v>
      </c>
      <c r="K120" s="702">
        <v>9754.919677734375</v>
      </c>
    </row>
    <row r="121" spans="1:11" ht="14.4" customHeight="1" x14ac:dyDescent="0.3">
      <c r="A121" s="696" t="s">
        <v>505</v>
      </c>
      <c r="B121" s="697" t="s">
        <v>506</v>
      </c>
      <c r="C121" s="698" t="s">
        <v>519</v>
      </c>
      <c r="D121" s="699" t="s">
        <v>520</v>
      </c>
      <c r="E121" s="698" t="s">
        <v>1939</v>
      </c>
      <c r="F121" s="699" t="s">
        <v>1940</v>
      </c>
      <c r="G121" s="698" t="s">
        <v>2108</v>
      </c>
      <c r="H121" s="698" t="s">
        <v>2109</v>
      </c>
      <c r="I121" s="701">
        <v>39.104998588562012</v>
      </c>
      <c r="J121" s="701">
        <v>60</v>
      </c>
      <c r="K121" s="702">
        <v>2346.3399963378906</v>
      </c>
    </row>
    <row r="122" spans="1:11" ht="14.4" customHeight="1" x14ac:dyDescent="0.3">
      <c r="A122" s="696" t="s">
        <v>505</v>
      </c>
      <c r="B122" s="697" t="s">
        <v>506</v>
      </c>
      <c r="C122" s="698" t="s">
        <v>519</v>
      </c>
      <c r="D122" s="699" t="s">
        <v>520</v>
      </c>
      <c r="E122" s="698" t="s">
        <v>1939</v>
      </c>
      <c r="F122" s="699" t="s">
        <v>1940</v>
      </c>
      <c r="G122" s="698" t="s">
        <v>2110</v>
      </c>
      <c r="H122" s="698" t="s">
        <v>2111</v>
      </c>
      <c r="I122" s="701">
        <v>11.739999771118164</v>
      </c>
      <c r="J122" s="701">
        <v>200</v>
      </c>
      <c r="K122" s="702">
        <v>2347.4500732421875</v>
      </c>
    </row>
    <row r="123" spans="1:11" ht="14.4" customHeight="1" x14ac:dyDescent="0.3">
      <c r="A123" s="696" t="s">
        <v>505</v>
      </c>
      <c r="B123" s="697" t="s">
        <v>506</v>
      </c>
      <c r="C123" s="698" t="s">
        <v>519</v>
      </c>
      <c r="D123" s="699" t="s">
        <v>520</v>
      </c>
      <c r="E123" s="698" t="s">
        <v>1939</v>
      </c>
      <c r="F123" s="699" t="s">
        <v>1940</v>
      </c>
      <c r="G123" s="698" t="s">
        <v>2112</v>
      </c>
      <c r="H123" s="698" t="s">
        <v>2113</v>
      </c>
      <c r="I123" s="701">
        <v>34.191109975179039</v>
      </c>
      <c r="J123" s="701">
        <v>525</v>
      </c>
      <c r="K123" s="702">
        <v>17952.089660644531</v>
      </c>
    </row>
    <row r="124" spans="1:11" ht="14.4" customHeight="1" x14ac:dyDescent="0.3">
      <c r="A124" s="696" t="s">
        <v>505</v>
      </c>
      <c r="B124" s="697" t="s">
        <v>506</v>
      </c>
      <c r="C124" s="698" t="s">
        <v>519</v>
      </c>
      <c r="D124" s="699" t="s">
        <v>520</v>
      </c>
      <c r="E124" s="698" t="s">
        <v>1939</v>
      </c>
      <c r="F124" s="699" t="s">
        <v>1940</v>
      </c>
      <c r="G124" s="698" t="s">
        <v>2114</v>
      </c>
      <c r="H124" s="698" t="s">
        <v>2115</v>
      </c>
      <c r="I124" s="701">
        <v>0.36555556125111049</v>
      </c>
      <c r="J124" s="701">
        <v>8000</v>
      </c>
      <c r="K124" s="702">
        <v>2927.1599655151367</v>
      </c>
    </row>
    <row r="125" spans="1:11" ht="14.4" customHeight="1" x14ac:dyDescent="0.3">
      <c r="A125" s="696" t="s">
        <v>505</v>
      </c>
      <c r="B125" s="697" t="s">
        <v>506</v>
      </c>
      <c r="C125" s="698" t="s">
        <v>519</v>
      </c>
      <c r="D125" s="699" t="s">
        <v>520</v>
      </c>
      <c r="E125" s="698" t="s">
        <v>1939</v>
      </c>
      <c r="F125" s="699" t="s">
        <v>1940</v>
      </c>
      <c r="G125" s="698" t="s">
        <v>2116</v>
      </c>
      <c r="H125" s="698" t="s">
        <v>2117</v>
      </c>
      <c r="I125" s="701">
        <v>0.49727272987365723</v>
      </c>
      <c r="J125" s="701">
        <v>9400</v>
      </c>
      <c r="K125" s="702">
        <v>4683</v>
      </c>
    </row>
    <row r="126" spans="1:11" ht="14.4" customHeight="1" x14ac:dyDescent="0.3">
      <c r="A126" s="696" t="s">
        <v>505</v>
      </c>
      <c r="B126" s="697" t="s">
        <v>506</v>
      </c>
      <c r="C126" s="698" t="s">
        <v>519</v>
      </c>
      <c r="D126" s="699" t="s">
        <v>520</v>
      </c>
      <c r="E126" s="698" t="s">
        <v>1939</v>
      </c>
      <c r="F126" s="699" t="s">
        <v>1940</v>
      </c>
      <c r="G126" s="698" t="s">
        <v>2118</v>
      </c>
      <c r="H126" s="698" t="s">
        <v>2119</v>
      </c>
      <c r="I126" s="701">
        <v>2.3850001096725464</v>
      </c>
      <c r="J126" s="701">
        <v>360</v>
      </c>
      <c r="K126" s="702">
        <v>859.19997406005859</v>
      </c>
    </row>
    <row r="127" spans="1:11" ht="14.4" customHeight="1" x14ac:dyDescent="0.3">
      <c r="A127" s="696" t="s">
        <v>505</v>
      </c>
      <c r="B127" s="697" t="s">
        <v>506</v>
      </c>
      <c r="C127" s="698" t="s">
        <v>519</v>
      </c>
      <c r="D127" s="699" t="s">
        <v>520</v>
      </c>
      <c r="E127" s="698" t="s">
        <v>1939</v>
      </c>
      <c r="F127" s="699" t="s">
        <v>1940</v>
      </c>
      <c r="G127" s="698" t="s">
        <v>2120</v>
      </c>
      <c r="H127" s="698" t="s">
        <v>2121</v>
      </c>
      <c r="I127" s="701">
        <v>0.66636365652084351</v>
      </c>
      <c r="J127" s="701">
        <v>14000</v>
      </c>
      <c r="K127" s="702">
        <v>9320</v>
      </c>
    </row>
    <row r="128" spans="1:11" ht="14.4" customHeight="1" x14ac:dyDescent="0.3">
      <c r="A128" s="696" t="s">
        <v>505</v>
      </c>
      <c r="B128" s="697" t="s">
        <v>506</v>
      </c>
      <c r="C128" s="698" t="s">
        <v>519</v>
      </c>
      <c r="D128" s="699" t="s">
        <v>520</v>
      </c>
      <c r="E128" s="698" t="s">
        <v>1939</v>
      </c>
      <c r="F128" s="699" t="s">
        <v>1940</v>
      </c>
      <c r="G128" s="698" t="s">
        <v>2122</v>
      </c>
      <c r="H128" s="698" t="s">
        <v>2123</v>
      </c>
      <c r="I128" s="701">
        <v>3.9445455074310303</v>
      </c>
      <c r="J128" s="701">
        <v>4500</v>
      </c>
      <c r="K128" s="702">
        <v>17756.460266113281</v>
      </c>
    </row>
    <row r="129" spans="1:11" ht="14.4" customHeight="1" x14ac:dyDescent="0.3">
      <c r="A129" s="696" t="s">
        <v>505</v>
      </c>
      <c r="B129" s="697" t="s">
        <v>506</v>
      </c>
      <c r="C129" s="698" t="s">
        <v>519</v>
      </c>
      <c r="D129" s="699" t="s">
        <v>520</v>
      </c>
      <c r="E129" s="698" t="s">
        <v>1939</v>
      </c>
      <c r="F129" s="699" t="s">
        <v>1940</v>
      </c>
      <c r="G129" s="698" t="s">
        <v>2124</v>
      </c>
      <c r="H129" s="698" t="s">
        <v>2125</v>
      </c>
      <c r="I129" s="701">
        <v>1.4199999570846558</v>
      </c>
      <c r="J129" s="701">
        <v>200</v>
      </c>
      <c r="K129" s="702">
        <v>284.77999877929687</v>
      </c>
    </row>
    <row r="130" spans="1:11" ht="14.4" customHeight="1" x14ac:dyDescent="0.3">
      <c r="A130" s="696" t="s">
        <v>505</v>
      </c>
      <c r="B130" s="697" t="s">
        <v>506</v>
      </c>
      <c r="C130" s="698" t="s">
        <v>519</v>
      </c>
      <c r="D130" s="699" t="s">
        <v>520</v>
      </c>
      <c r="E130" s="698" t="s">
        <v>1939</v>
      </c>
      <c r="F130" s="699" t="s">
        <v>1940</v>
      </c>
      <c r="G130" s="698" t="s">
        <v>2126</v>
      </c>
      <c r="H130" s="698" t="s">
        <v>2127</v>
      </c>
      <c r="I130" s="701">
        <v>7.4971427917480469</v>
      </c>
      <c r="J130" s="701">
        <v>4896</v>
      </c>
      <c r="K130" s="702">
        <v>36702.789794921875</v>
      </c>
    </row>
    <row r="131" spans="1:11" ht="14.4" customHeight="1" x14ac:dyDescent="0.3">
      <c r="A131" s="696" t="s">
        <v>505</v>
      </c>
      <c r="B131" s="697" t="s">
        <v>506</v>
      </c>
      <c r="C131" s="698" t="s">
        <v>519</v>
      </c>
      <c r="D131" s="699" t="s">
        <v>520</v>
      </c>
      <c r="E131" s="698" t="s">
        <v>1939</v>
      </c>
      <c r="F131" s="699" t="s">
        <v>1940</v>
      </c>
      <c r="G131" s="698" t="s">
        <v>2128</v>
      </c>
      <c r="H131" s="698" t="s">
        <v>2129</v>
      </c>
      <c r="I131" s="701">
        <v>27.877499580383301</v>
      </c>
      <c r="J131" s="701">
        <v>58</v>
      </c>
      <c r="K131" s="702">
        <v>1616.8499870300293</v>
      </c>
    </row>
    <row r="132" spans="1:11" ht="14.4" customHeight="1" x14ac:dyDescent="0.3">
      <c r="A132" s="696" t="s">
        <v>505</v>
      </c>
      <c r="B132" s="697" t="s">
        <v>506</v>
      </c>
      <c r="C132" s="698" t="s">
        <v>519</v>
      </c>
      <c r="D132" s="699" t="s">
        <v>520</v>
      </c>
      <c r="E132" s="698" t="s">
        <v>1939</v>
      </c>
      <c r="F132" s="699" t="s">
        <v>1940</v>
      </c>
      <c r="G132" s="698" t="s">
        <v>2130</v>
      </c>
      <c r="H132" s="698" t="s">
        <v>2131</v>
      </c>
      <c r="I132" s="701">
        <v>29.329999923706055</v>
      </c>
      <c r="J132" s="701">
        <v>6</v>
      </c>
      <c r="K132" s="702">
        <v>175.97999572753906</v>
      </c>
    </row>
    <row r="133" spans="1:11" ht="14.4" customHeight="1" x14ac:dyDescent="0.3">
      <c r="A133" s="696" t="s">
        <v>505</v>
      </c>
      <c r="B133" s="697" t="s">
        <v>506</v>
      </c>
      <c r="C133" s="698" t="s">
        <v>519</v>
      </c>
      <c r="D133" s="699" t="s">
        <v>520</v>
      </c>
      <c r="E133" s="698" t="s">
        <v>1939</v>
      </c>
      <c r="F133" s="699" t="s">
        <v>1940</v>
      </c>
      <c r="G133" s="698" t="s">
        <v>2132</v>
      </c>
      <c r="H133" s="698" t="s">
        <v>2133</v>
      </c>
      <c r="I133" s="701">
        <v>28.73266626993815</v>
      </c>
      <c r="J133" s="701">
        <v>889</v>
      </c>
      <c r="K133" s="702">
        <v>25543.140634536743</v>
      </c>
    </row>
    <row r="134" spans="1:11" ht="14.4" customHeight="1" x14ac:dyDescent="0.3">
      <c r="A134" s="696" t="s">
        <v>505</v>
      </c>
      <c r="B134" s="697" t="s">
        <v>506</v>
      </c>
      <c r="C134" s="698" t="s">
        <v>519</v>
      </c>
      <c r="D134" s="699" t="s">
        <v>520</v>
      </c>
      <c r="E134" s="698" t="s">
        <v>1939</v>
      </c>
      <c r="F134" s="699" t="s">
        <v>1940</v>
      </c>
      <c r="G134" s="698" t="s">
        <v>2134</v>
      </c>
      <c r="H134" s="698" t="s">
        <v>2135</v>
      </c>
      <c r="I134" s="701">
        <v>314.79998779296875</v>
      </c>
      <c r="J134" s="701">
        <v>4</v>
      </c>
      <c r="K134" s="702">
        <v>1259.199951171875</v>
      </c>
    </row>
    <row r="135" spans="1:11" ht="14.4" customHeight="1" x14ac:dyDescent="0.3">
      <c r="A135" s="696" t="s">
        <v>505</v>
      </c>
      <c r="B135" s="697" t="s">
        <v>506</v>
      </c>
      <c r="C135" s="698" t="s">
        <v>519</v>
      </c>
      <c r="D135" s="699" t="s">
        <v>520</v>
      </c>
      <c r="E135" s="698" t="s">
        <v>1939</v>
      </c>
      <c r="F135" s="699" t="s">
        <v>1940</v>
      </c>
      <c r="G135" s="698" t="s">
        <v>2098</v>
      </c>
      <c r="H135" s="698" t="s">
        <v>2136</v>
      </c>
      <c r="I135" s="701">
        <v>314.80499267578125</v>
      </c>
      <c r="J135" s="701">
        <v>4</v>
      </c>
      <c r="K135" s="702">
        <v>1259.2099609375</v>
      </c>
    </row>
    <row r="136" spans="1:11" ht="14.4" customHeight="1" x14ac:dyDescent="0.3">
      <c r="A136" s="696" t="s">
        <v>505</v>
      </c>
      <c r="B136" s="697" t="s">
        <v>506</v>
      </c>
      <c r="C136" s="698" t="s">
        <v>519</v>
      </c>
      <c r="D136" s="699" t="s">
        <v>520</v>
      </c>
      <c r="E136" s="698" t="s">
        <v>1939</v>
      </c>
      <c r="F136" s="699" t="s">
        <v>1940</v>
      </c>
      <c r="G136" s="698" t="s">
        <v>2100</v>
      </c>
      <c r="H136" s="698" t="s">
        <v>2137</v>
      </c>
      <c r="I136" s="701">
        <v>314.79998779296875</v>
      </c>
      <c r="J136" s="701">
        <v>3</v>
      </c>
      <c r="K136" s="702">
        <v>944.40997314453125</v>
      </c>
    </row>
    <row r="137" spans="1:11" ht="14.4" customHeight="1" x14ac:dyDescent="0.3">
      <c r="A137" s="696" t="s">
        <v>505</v>
      </c>
      <c r="B137" s="697" t="s">
        <v>506</v>
      </c>
      <c r="C137" s="698" t="s">
        <v>519</v>
      </c>
      <c r="D137" s="699" t="s">
        <v>520</v>
      </c>
      <c r="E137" s="698" t="s">
        <v>1939</v>
      </c>
      <c r="F137" s="699" t="s">
        <v>1940</v>
      </c>
      <c r="G137" s="698" t="s">
        <v>2138</v>
      </c>
      <c r="H137" s="698" t="s">
        <v>2139</v>
      </c>
      <c r="I137" s="701">
        <v>0.99714285986764095</v>
      </c>
      <c r="J137" s="701">
        <v>380</v>
      </c>
      <c r="K137" s="702">
        <v>379.07000350952148</v>
      </c>
    </row>
    <row r="138" spans="1:11" ht="14.4" customHeight="1" x14ac:dyDescent="0.3">
      <c r="A138" s="696" t="s">
        <v>505</v>
      </c>
      <c r="B138" s="697" t="s">
        <v>506</v>
      </c>
      <c r="C138" s="698" t="s">
        <v>519</v>
      </c>
      <c r="D138" s="699" t="s">
        <v>520</v>
      </c>
      <c r="E138" s="698" t="s">
        <v>2140</v>
      </c>
      <c r="F138" s="699" t="s">
        <v>2141</v>
      </c>
      <c r="G138" s="698" t="s">
        <v>2142</v>
      </c>
      <c r="H138" s="698" t="s">
        <v>2143</v>
      </c>
      <c r="I138" s="701">
        <v>19.360000610351563</v>
      </c>
      <c r="J138" s="701">
        <v>30</v>
      </c>
      <c r="K138" s="702">
        <v>580.79998779296875</v>
      </c>
    </row>
    <row r="139" spans="1:11" ht="14.4" customHeight="1" x14ac:dyDescent="0.3">
      <c r="A139" s="696" t="s">
        <v>505</v>
      </c>
      <c r="B139" s="697" t="s">
        <v>506</v>
      </c>
      <c r="C139" s="698" t="s">
        <v>519</v>
      </c>
      <c r="D139" s="699" t="s">
        <v>520</v>
      </c>
      <c r="E139" s="698" t="s">
        <v>2140</v>
      </c>
      <c r="F139" s="699" t="s">
        <v>2141</v>
      </c>
      <c r="G139" s="698" t="s">
        <v>2144</v>
      </c>
      <c r="H139" s="698" t="s">
        <v>2145</v>
      </c>
      <c r="I139" s="701">
        <v>121</v>
      </c>
      <c r="J139" s="701">
        <v>143</v>
      </c>
      <c r="K139" s="702">
        <v>17303</v>
      </c>
    </row>
    <row r="140" spans="1:11" ht="14.4" customHeight="1" x14ac:dyDescent="0.3">
      <c r="A140" s="696" t="s">
        <v>505</v>
      </c>
      <c r="B140" s="697" t="s">
        <v>506</v>
      </c>
      <c r="C140" s="698" t="s">
        <v>519</v>
      </c>
      <c r="D140" s="699" t="s">
        <v>520</v>
      </c>
      <c r="E140" s="698" t="s">
        <v>2140</v>
      </c>
      <c r="F140" s="699" t="s">
        <v>2141</v>
      </c>
      <c r="G140" s="698" t="s">
        <v>2146</v>
      </c>
      <c r="H140" s="698" t="s">
        <v>2147</v>
      </c>
      <c r="I140" s="701">
        <v>47.189998626708984</v>
      </c>
      <c r="J140" s="701">
        <v>400</v>
      </c>
      <c r="K140" s="702">
        <v>18875.999755859375</v>
      </c>
    </row>
    <row r="141" spans="1:11" ht="14.4" customHeight="1" x14ac:dyDescent="0.3">
      <c r="A141" s="696" t="s">
        <v>505</v>
      </c>
      <c r="B141" s="697" t="s">
        <v>506</v>
      </c>
      <c r="C141" s="698" t="s">
        <v>519</v>
      </c>
      <c r="D141" s="699" t="s">
        <v>520</v>
      </c>
      <c r="E141" s="698" t="s">
        <v>2140</v>
      </c>
      <c r="F141" s="699" t="s">
        <v>2141</v>
      </c>
      <c r="G141" s="698" t="s">
        <v>2148</v>
      </c>
      <c r="H141" s="698" t="s">
        <v>2149</v>
      </c>
      <c r="I141" s="701">
        <v>6.294285774230957</v>
      </c>
      <c r="J141" s="701">
        <v>750</v>
      </c>
      <c r="K141" s="702">
        <v>4720</v>
      </c>
    </row>
    <row r="142" spans="1:11" ht="14.4" customHeight="1" x14ac:dyDescent="0.3">
      <c r="A142" s="696" t="s">
        <v>505</v>
      </c>
      <c r="B142" s="697" t="s">
        <v>506</v>
      </c>
      <c r="C142" s="698" t="s">
        <v>519</v>
      </c>
      <c r="D142" s="699" t="s">
        <v>520</v>
      </c>
      <c r="E142" s="698" t="s">
        <v>2140</v>
      </c>
      <c r="F142" s="699" t="s">
        <v>2141</v>
      </c>
      <c r="G142" s="698" t="s">
        <v>2150</v>
      </c>
      <c r="H142" s="698" t="s">
        <v>2151</v>
      </c>
      <c r="I142" s="701">
        <v>2.5799999237060547</v>
      </c>
      <c r="J142" s="701">
        <v>100</v>
      </c>
      <c r="K142" s="702">
        <v>258</v>
      </c>
    </row>
    <row r="143" spans="1:11" ht="14.4" customHeight="1" x14ac:dyDescent="0.3">
      <c r="A143" s="696" t="s">
        <v>505</v>
      </c>
      <c r="B143" s="697" t="s">
        <v>506</v>
      </c>
      <c r="C143" s="698" t="s">
        <v>519</v>
      </c>
      <c r="D143" s="699" t="s">
        <v>520</v>
      </c>
      <c r="E143" s="698" t="s">
        <v>2140</v>
      </c>
      <c r="F143" s="699" t="s">
        <v>2141</v>
      </c>
      <c r="G143" s="698" t="s">
        <v>2152</v>
      </c>
      <c r="H143" s="698" t="s">
        <v>2153</v>
      </c>
      <c r="I143" s="701">
        <v>2.9025000929832458</v>
      </c>
      <c r="J143" s="701">
        <v>1100</v>
      </c>
      <c r="K143" s="702">
        <v>3195</v>
      </c>
    </row>
    <row r="144" spans="1:11" ht="14.4" customHeight="1" x14ac:dyDescent="0.3">
      <c r="A144" s="696" t="s">
        <v>505</v>
      </c>
      <c r="B144" s="697" t="s">
        <v>506</v>
      </c>
      <c r="C144" s="698" t="s">
        <v>519</v>
      </c>
      <c r="D144" s="699" t="s">
        <v>520</v>
      </c>
      <c r="E144" s="698" t="s">
        <v>2140</v>
      </c>
      <c r="F144" s="699" t="s">
        <v>2141</v>
      </c>
      <c r="G144" s="698" t="s">
        <v>2152</v>
      </c>
      <c r="H144" s="698" t="s">
        <v>2154</v>
      </c>
      <c r="I144" s="701">
        <v>2.3762499392032623</v>
      </c>
      <c r="J144" s="701">
        <v>1498</v>
      </c>
      <c r="K144" s="702">
        <v>3585.3800048828125</v>
      </c>
    </row>
    <row r="145" spans="1:11" ht="14.4" customHeight="1" x14ac:dyDescent="0.3">
      <c r="A145" s="696" t="s">
        <v>505</v>
      </c>
      <c r="B145" s="697" t="s">
        <v>506</v>
      </c>
      <c r="C145" s="698" t="s">
        <v>519</v>
      </c>
      <c r="D145" s="699" t="s">
        <v>520</v>
      </c>
      <c r="E145" s="698" t="s">
        <v>2140</v>
      </c>
      <c r="F145" s="699" t="s">
        <v>2141</v>
      </c>
      <c r="G145" s="698" t="s">
        <v>2155</v>
      </c>
      <c r="H145" s="698" t="s">
        <v>2156</v>
      </c>
      <c r="I145" s="701">
        <v>2.9060000896453859</v>
      </c>
      <c r="J145" s="701">
        <v>1650</v>
      </c>
      <c r="K145" s="702">
        <v>4794.5</v>
      </c>
    </row>
    <row r="146" spans="1:11" ht="14.4" customHeight="1" x14ac:dyDescent="0.3">
      <c r="A146" s="696" t="s">
        <v>505</v>
      </c>
      <c r="B146" s="697" t="s">
        <v>506</v>
      </c>
      <c r="C146" s="698" t="s">
        <v>519</v>
      </c>
      <c r="D146" s="699" t="s">
        <v>520</v>
      </c>
      <c r="E146" s="698" t="s">
        <v>2140</v>
      </c>
      <c r="F146" s="699" t="s">
        <v>2141</v>
      </c>
      <c r="G146" s="698" t="s">
        <v>2155</v>
      </c>
      <c r="H146" s="698" t="s">
        <v>2157</v>
      </c>
      <c r="I146" s="701">
        <v>2.4114285196576799</v>
      </c>
      <c r="J146" s="701">
        <v>2050</v>
      </c>
      <c r="K146" s="702">
        <v>4973.1500244140625</v>
      </c>
    </row>
    <row r="147" spans="1:11" ht="14.4" customHeight="1" x14ac:dyDescent="0.3">
      <c r="A147" s="696" t="s">
        <v>505</v>
      </c>
      <c r="B147" s="697" t="s">
        <v>506</v>
      </c>
      <c r="C147" s="698" t="s">
        <v>519</v>
      </c>
      <c r="D147" s="699" t="s">
        <v>520</v>
      </c>
      <c r="E147" s="698" t="s">
        <v>2140</v>
      </c>
      <c r="F147" s="699" t="s">
        <v>2141</v>
      </c>
      <c r="G147" s="698" t="s">
        <v>2158</v>
      </c>
      <c r="H147" s="698" t="s">
        <v>2159</v>
      </c>
      <c r="I147" s="701">
        <v>2.3949999809265137</v>
      </c>
      <c r="J147" s="701">
        <v>300</v>
      </c>
      <c r="K147" s="702">
        <v>715</v>
      </c>
    </row>
    <row r="148" spans="1:11" ht="14.4" customHeight="1" x14ac:dyDescent="0.3">
      <c r="A148" s="696" t="s">
        <v>505</v>
      </c>
      <c r="B148" s="697" t="s">
        <v>506</v>
      </c>
      <c r="C148" s="698" t="s">
        <v>519</v>
      </c>
      <c r="D148" s="699" t="s">
        <v>520</v>
      </c>
      <c r="E148" s="698" t="s">
        <v>2140</v>
      </c>
      <c r="F148" s="699" t="s">
        <v>2141</v>
      </c>
      <c r="G148" s="698" t="s">
        <v>2160</v>
      </c>
      <c r="H148" s="698" t="s">
        <v>2161</v>
      </c>
      <c r="I148" s="701">
        <v>2.9000000953674316</v>
      </c>
      <c r="J148" s="701">
        <v>450</v>
      </c>
      <c r="K148" s="702">
        <v>1305</v>
      </c>
    </row>
    <row r="149" spans="1:11" ht="14.4" customHeight="1" x14ac:dyDescent="0.3">
      <c r="A149" s="696" t="s">
        <v>505</v>
      </c>
      <c r="B149" s="697" t="s">
        <v>506</v>
      </c>
      <c r="C149" s="698" t="s">
        <v>519</v>
      </c>
      <c r="D149" s="699" t="s">
        <v>520</v>
      </c>
      <c r="E149" s="698" t="s">
        <v>2140</v>
      </c>
      <c r="F149" s="699" t="s">
        <v>2141</v>
      </c>
      <c r="G149" s="698" t="s">
        <v>2160</v>
      </c>
      <c r="H149" s="698" t="s">
        <v>2162</v>
      </c>
      <c r="I149" s="701">
        <v>2.4271428244454518</v>
      </c>
      <c r="J149" s="701">
        <v>1022</v>
      </c>
      <c r="K149" s="702">
        <v>2493.3200073242187</v>
      </c>
    </row>
    <row r="150" spans="1:11" ht="14.4" customHeight="1" x14ac:dyDescent="0.3">
      <c r="A150" s="696" t="s">
        <v>505</v>
      </c>
      <c r="B150" s="697" t="s">
        <v>506</v>
      </c>
      <c r="C150" s="698" t="s">
        <v>519</v>
      </c>
      <c r="D150" s="699" t="s">
        <v>520</v>
      </c>
      <c r="E150" s="698" t="s">
        <v>2140</v>
      </c>
      <c r="F150" s="699" t="s">
        <v>2141</v>
      </c>
      <c r="G150" s="698" t="s">
        <v>2163</v>
      </c>
      <c r="H150" s="698" t="s">
        <v>2164</v>
      </c>
      <c r="I150" s="701">
        <v>2.9100000858306885</v>
      </c>
      <c r="J150" s="701">
        <v>100</v>
      </c>
      <c r="K150" s="702">
        <v>291</v>
      </c>
    </row>
    <row r="151" spans="1:11" ht="14.4" customHeight="1" x14ac:dyDescent="0.3">
      <c r="A151" s="696" t="s">
        <v>505</v>
      </c>
      <c r="B151" s="697" t="s">
        <v>506</v>
      </c>
      <c r="C151" s="698" t="s">
        <v>519</v>
      </c>
      <c r="D151" s="699" t="s">
        <v>520</v>
      </c>
      <c r="E151" s="698" t="s">
        <v>2140</v>
      </c>
      <c r="F151" s="699" t="s">
        <v>2141</v>
      </c>
      <c r="G151" s="698" t="s">
        <v>2165</v>
      </c>
      <c r="H151" s="698" t="s">
        <v>2166</v>
      </c>
      <c r="I151" s="701">
        <v>2.9000000953674316</v>
      </c>
      <c r="J151" s="701">
        <v>100</v>
      </c>
      <c r="K151" s="702">
        <v>290</v>
      </c>
    </row>
    <row r="152" spans="1:11" ht="14.4" customHeight="1" x14ac:dyDescent="0.3">
      <c r="A152" s="696" t="s">
        <v>505</v>
      </c>
      <c r="B152" s="697" t="s">
        <v>506</v>
      </c>
      <c r="C152" s="698" t="s">
        <v>519</v>
      </c>
      <c r="D152" s="699" t="s">
        <v>520</v>
      </c>
      <c r="E152" s="698" t="s">
        <v>2140</v>
      </c>
      <c r="F152" s="699" t="s">
        <v>2141</v>
      </c>
      <c r="G152" s="698" t="s">
        <v>2167</v>
      </c>
      <c r="H152" s="698" t="s">
        <v>2168</v>
      </c>
      <c r="I152" s="701">
        <v>4.8157895489742879</v>
      </c>
      <c r="J152" s="701">
        <v>6800</v>
      </c>
      <c r="K152" s="702">
        <v>32751</v>
      </c>
    </row>
    <row r="153" spans="1:11" ht="14.4" customHeight="1" x14ac:dyDescent="0.3">
      <c r="A153" s="696" t="s">
        <v>505</v>
      </c>
      <c r="B153" s="697" t="s">
        <v>506</v>
      </c>
      <c r="C153" s="698" t="s">
        <v>519</v>
      </c>
      <c r="D153" s="699" t="s">
        <v>520</v>
      </c>
      <c r="E153" s="698" t="s">
        <v>2140</v>
      </c>
      <c r="F153" s="699" t="s">
        <v>2141</v>
      </c>
      <c r="G153" s="698" t="s">
        <v>2169</v>
      </c>
      <c r="H153" s="698" t="s">
        <v>2170</v>
      </c>
      <c r="I153" s="701">
        <v>1.5999999642372132E-2</v>
      </c>
      <c r="J153" s="701">
        <v>350</v>
      </c>
      <c r="K153" s="702">
        <v>5.5</v>
      </c>
    </row>
    <row r="154" spans="1:11" ht="14.4" customHeight="1" x14ac:dyDescent="0.3">
      <c r="A154" s="696" t="s">
        <v>505</v>
      </c>
      <c r="B154" s="697" t="s">
        <v>506</v>
      </c>
      <c r="C154" s="698" t="s">
        <v>519</v>
      </c>
      <c r="D154" s="699" t="s">
        <v>520</v>
      </c>
      <c r="E154" s="698" t="s">
        <v>2140</v>
      </c>
      <c r="F154" s="699" t="s">
        <v>2141</v>
      </c>
      <c r="G154" s="698" t="s">
        <v>2171</v>
      </c>
      <c r="H154" s="698" t="s">
        <v>2172</v>
      </c>
      <c r="I154" s="701">
        <v>2.7849999666213989</v>
      </c>
      <c r="J154" s="701">
        <v>2100</v>
      </c>
      <c r="K154" s="702">
        <v>5847</v>
      </c>
    </row>
    <row r="155" spans="1:11" ht="14.4" customHeight="1" x14ac:dyDescent="0.3">
      <c r="A155" s="696" t="s">
        <v>505</v>
      </c>
      <c r="B155" s="697" t="s">
        <v>506</v>
      </c>
      <c r="C155" s="698" t="s">
        <v>519</v>
      </c>
      <c r="D155" s="699" t="s">
        <v>520</v>
      </c>
      <c r="E155" s="698" t="s">
        <v>2140</v>
      </c>
      <c r="F155" s="699" t="s">
        <v>2141</v>
      </c>
      <c r="G155" s="698" t="s">
        <v>2173</v>
      </c>
      <c r="H155" s="698" t="s">
        <v>2174</v>
      </c>
      <c r="I155" s="701">
        <v>1.6950000524520874</v>
      </c>
      <c r="J155" s="701">
        <v>300</v>
      </c>
      <c r="K155" s="702">
        <v>509</v>
      </c>
    </row>
    <row r="156" spans="1:11" ht="14.4" customHeight="1" x14ac:dyDescent="0.3">
      <c r="A156" s="696" t="s">
        <v>505</v>
      </c>
      <c r="B156" s="697" t="s">
        <v>506</v>
      </c>
      <c r="C156" s="698" t="s">
        <v>519</v>
      </c>
      <c r="D156" s="699" t="s">
        <v>520</v>
      </c>
      <c r="E156" s="698" t="s">
        <v>2140</v>
      </c>
      <c r="F156" s="699" t="s">
        <v>2141</v>
      </c>
      <c r="G156" s="698" t="s">
        <v>2173</v>
      </c>
      <c r="H156" s="698" t="s">
        <v>2175</v>
      </c>
      <c r="I156" s="701">
        <v>1.690000057220459</v>
      </c>
      <c r="J156" s="701">
        <v>200</v>
      </c>
      <c r="K156" s="702">
        <v>338</v>
      </c>
    </row>
    <row r="157" spans="1:11" ht="14.4" customHeight="1" x14ac:dyDescent="0.3">
      <c r="A157" s="696" t="s">
        <v>505</v>
      </c>
      <c r="B157" s="697" t="s">
        <v>506</v>
      </c>
      <c r="C157" s="698" t="s">
        <v>519</v>
      </c>
      <c r="D157" s="699" t="s">
        <v>520</v>
      </c>
      <c r="E157" s="698" t="s">
        <v>2140</v>
      </c>
      <c r="F157" s="699" t="s">
        <v>2141</v>
      </c>
      <c r="G157" s="698" t="s">
        <v>2176</v>
      </c>
      <c r="H157" s="698" t="s">
        <v>2177</v>
      </c>
      <c r="I157" s="701">
        <v>1.9299999475479126</v>
      </c>
      <c r="J157" s="701">
        <v>200</v>
      </c>
      <c r="K157" s="702">
        <v>386</v>
      </c>
    </row>
    <row r="158" spans="1:11" ht="14.4" customHeight="1" x14ac:dyDescent="0.3">
      <c r="A158" s="696" t="s">
        <v>505</v>
      </c>
      <c r="B158" s="697" t="s">
        <v>506</v>
      </c>
      <c r="C158" s="698" t="s">
        <v>519</v>
      </c>
      <c r="D158" s="699" t="s">
        <v>520</v>
      </c>
      <c r="E158" s="698" t="s">
        <v>2140</v>
      </c>
      <c r="F158" s="699" t="s">
        <v>2141</v>
      </c>
      <c r="G158" s="698" t="s">
        <v>2176</v>
      </c>
      <c r="H158" s="698" t="s">
        <v>2178</v>
      </c>
      <c r="I158" s="701">
        <v>1.9299999475479126</v>
      </c>
      <c r="J158" s="701">
        <v>200</v>
      </c>
      <c r="K158" s="702">
        <v>386</v>
      </c>
    </row>
    <row r="159" spans="1:11" ht="14.4" customHeight="1" x14ac:dyDescent="0.3">
      <c r="A159" s="696" t="s">
        <v>505</v>
      </c>
      <c r="B159" s="697" t="s">
        <v>506</v>
      </c>
      <c r="C159" s="698" t="s">
        <v>519</v>
      </c>
      <c r="D159" s="699" t="s">
        <v>520</v>
      </c>
      <c r="E159" s="698" t="s">
        <v>2140</v>
      </c>
      <c r="F159" s="699" t="s">
        <v>2141</v>
      </c>
      <c r="G159" s="698" t="s">
        <v>2179</v>
      </c>
      <c r="H159" s="698" t="s">
        <v>2180</v>
      </c>
      <c r="I159" s="701">
        <v>33.880001068115234</v>
      </c>
      <c r="J159" s="701">
        <v>1</v>
      </c>
      <c r="K159" s="702">
        <v>33.880001068115234</v>
      </c>
    </row>
    <row r="160" spans="1:11" ht="14.4" customHeight="1" x14ac:dyDescent="0.3">
      <c r="A160" s="696" t="s">
        <v>505</v>
      </c>
      <c r="B160" s="697" t="s">
        <v>506</v>
      </c>
      <c r="C160" s="698" t="s">
        <v>519</v>
      </c>
      <c r="D160" s="699" t="s">
        <v>520</v>
      </c>
      <c r="E160" s="698" t="s">
        <v>2140</v>
      </c>
      <c r="F160" s="699" t="s">
        <v>2141</v>
      </c>
      <c r="G160" s="698" t="s">
        <v>2181</v>
      </c>
      <c r="H160" s="698" t="s">
        <v>2182</v>
      </c>
      <c r="I160" s="701">
        <v>34.990001678466797</v>
      </c>
      <c r="J160" s="701">
        <v>20</v>
      </c>
      <c r="K160" s="702">
        <v>699.8599853515625</v>
      </c>
    </row>
    <row r="161" spans="1:11" ht="14.4" customHeight="1" x14ac:dyDescent="0.3">
      <c r="A161" s="696" t="s">
        <v>505</v>
      </c>
      <c r="B161" s="697" t="s">
        <v>506</v>
      </c>
      <c r="C161" s="698" t="s">
        <v>519</v>
      </c>
      <c r="D161" s="699" t="s">
        <v>520</v>
      </c>
      <c r="E161" s="698" t="s">
        <v>2140</v>
      </c>
      <c r="F161" s="699" t="s">
        <v>2141</v>
      </c>
      <c r="G161" s="698" t="s">
        <v>2183</v>
      </c>
      <c r="H161" s="698" t="s">
        <v>2184</v>
      </c>
      <c r="I161" s="701">
        <v>15.923000144958497</v>
      </c>
      <c r="J161" s="701">
        <v>2600</v>
      </c>
      <c r="K161" s="702">
        <v>41399.300384521484</v>
      </c>
    </row>
    <row r="162" spans="1:11" ht="14.4" customHeight="1" x14ac:dyDescent="0.3">
      <c r="A162" s="696" t="s">
        <v>505</v>
      </c>
      <c r="B162" s="697" t="s">
        <v>506</v>
      </c>
      <c r="C162" s="698" t="s">
        <v>519</v>
      </c>
      <c r="D162" s="699" t="s">
        <v>520</v>
      </c>
      <c r="E162" s="698" t="s">
        <v>2140</v>
      </c>
      <c r="F162" s="699" t="s">
        <v>2141</v>
      </c>
      <c r="G162" s="698" t="s">
        <v>2185</v>
      </c>
      <c r="H162" s="698" t="s">
        <v>2186</v>
      </c>
      <c r="I162" s="701">
        <v>11.142857279096331</v>
      </c>
      <c r="J162" s="701">
        <v>3450</v>
      </c>
      <c r="K162" s="702">
        <v>38443.499908447266</v>
      </c>
    </row>
    <row r="163" spans="1:11" ht="14.4" customHeight="1" x14ac:dyDescent="0.3">
      <c r="A163" s="696" t="s">
        <v>505</v>
      </c>
      <c r="B163" s="697" t="s">
        <v>506</v>
      </c>
      <c r="C163" s="698" t="s">
        <v>519</v>
      </c>
      <c r="D163" s="699" t="s">
        <v>520</v>
      </c>
      <c r="E163" s="698" t="s">
        <v>2140</v>
      </c>
      <c r="F163" s="699" t="s">
        <v>2141</v>
      </c>
      <c r="G163" s="698" t="s">
        <v>2187</v>
      </c>
      <c r="H163" s="698" t="s">
        <v>2188</v>
      </c>
      <c r="I163" s="701">
        <v>64.129997253417969</v>
      </c>
      <c r="J163" s="701">
        <v>3</v>
      </c>
      <c r="K163" s="702">
        <v>192.38999938964844</v>
      </c>
    </row>
    <row r="164" spans="1:11" ht="14.4" customHeight="1" x14ac:dyDescent="0.3">
      <c r="A164" s="696" t="s">
        <v>505</v>
      </c>
      <c r="B164" s="697" t="s">
        <v>506</v>
      </c>
      <c r="C164" s="698" t="s">
        <v>519</v>
      </c>
      <c r="D164" s="699" t="s">
        <v>520</v>
      </c>
      <c r="E164" s="698" t="s">
        <v>2140</v>
      </c>
      <c r="F164" s="699" t="s">
        <v>2141</v>
      </c>
      <c r="G164" s="698" t="s">
        <v>2189</v>
      </c>
      <c r="H164" s="698" t="s">
        <v>2190</v>
      </c>
      <c r="I164" s="701">
        <v>14.661999893188476</v>
      </c>
      <c r="J164" s="701">
        <v>320</v>
      </c>
      <c r="K164" s="702">
        <v>4692.2301025390625</v>
      </c>
    </row>
    <row r="165" spans="1:11" ht="14.4" customHeight="1" x14ac:dyDescent="0.3">
      <c r="A165" s="696" t="s">
        <v>505</v>
      </c>
      <c r="B165" s="697" t="s">
        <v>506</v>
      </c>
      <c r="C165" s="698" t="s">
        <v>519</v>
      </c>
      <c r="D165" s="699" t="s">
        <v>520</v>
      </c>
      <c r="E165" s="698" t="s">
        <v>2140</v>
      </c>
      <c r="F165" s="699" t="s">
        <v>2141</v>
      </c>
      <c r="G165" s="698" t="s">
        <v>2191</v>
      </c>
      <c r="H165" s="698" t="s">
        <v>2192</v>
      </c>
      <c r="I165" s="701">
        <v>6.1500000953674316</v>
      </c>
      <c r="J165" s="701">
        <v>1300</v>
      </c>
      <c r="K165" s="702">
        <v>7995</v>
      </c>
    </row>
    <row r="166" spans="1:11" ht="14.4" customHeight="1" x14ac:dyDescent="0.3">
      <c r="A166" s="696" t="s">
        <v>505</v>
      </c>
      <c r="B166" s="697" t="s">
        <v>506</v>
      </c>
      <c r="C166" s="698" t="s">
        <v>519</v>
      </c>
      <c r="D166" s="699" t="s">
        <v>520</v>
      </c>
      <c r="E166" s="698" t="s">
        <v>2140</v>
      </c>
      <c r="F166" s="699" t="s">
        <v>2141</v>
      </c>
      <c r="G166" s="698" t="s">
        <v>2193</v>
      </c>
      <c r="H166" s="698" t="s">
        <v>2194</v>
      </c>
      <c r="I166" s="701">
        <v>3.4566667079925537</v>
      </c>
      <c r="J166" s="701">
        <v>4043</v>
      </c>
      <c r="K166" s="702">
        <v>13978.880004882812</v>
      </c>
    </row>
    <row r="167" spans="1:11" ht="14.4" customHeight="1" x14ac:dyDescent="0.3">
      <c r="A167" s="696" t="s">
        <v>505</v>
      </c>
      <c r="B167" s="697" t="s">
        <v>506</v>
      </c>
      <c r="C167" s="698" t="s">
        <v>519</v>
      </c>
      <c r="D167" s="699" t="s">
        <v>520</v>
      </c>
      <c r="E167" s="698" t="s">
        <v>2140</v>
      </c>
      <c r="F167" s="699" t="s">
        <v>2141</v>
      </c>
      <c r="G167" s="698" t="s">
        <v>2195</v>
      </c>
      <c r="H167" s="698" t="s">
        <v>2196</v>
      </c>
      <c r="I167" s="701">
        <v>5.4427272623235528</v>
      </c>
      <c r="J167" s="701">
        <v>4280</v>
      </c>
      <c r="K167" s="702">
        <v>23292</v>
      </c>
    </row>
    <row r="168" spans="1:11" ht="14.4" customHeight="1" x14ac:dyDescent="0.3">
      <c r="A168" s="696" t="s">
        <v>505</v>
      </c>
      <c r="B168" s="697" t="s">
        <v>506</v>
      </c>
      <c r="C168" s="698" t="s">
        <v>519</v>
      </c>
      <c r="D168" s="699" t="s">
        <v>520</v>
      </c>
      <c r="E168" s="698" t="s">
        <v>2140</v>
      </c>
      <c r="F168" s="699" t="s">
        <v>2141</v>
      </c>
      <c r="G168" s="698" t="s">
        <v>2197</v>
      </c>
      <c r="H168" s="698" t="s">
        <v>2198</v>
      </c>
      <c r="I168" s="701">
        <v>3.387272834777832</v>
      </c>
      <c r="J168" s="701">
        <v>7000</v>
      </c>
      <c r="K168" s="702">
        <v>23698</v>
      </c>
    </row>
    <row r="169" spans="1:11" ht="14.4" customHeight="1" x14ac:dyDescent="0.3">
      <c r="A169" s="696" t="s">
        <v>505</v>
      </c>
      <c r="B169" s="697" t="s">
        <v>506</v>
      </c>
      <c r="C169" s="698" t="s">
        <v>519</v>
      </c>
      <c r="D169" s="699" t="s">
        <v>520</v>
      </c>
      <c r="E169" s="698" t="s">
        <v>2140</v>
      </c>
      <c r="F169" s="699" t="s">
        <v>2141</v>
      </c>
      <c r="G169" s="698" t="s">
        <v>2199</v>
      </c>
      <c r="H169" s="698" t="s">
        <v>2200</v>
      </c>
      <c r="I169" s="701">
        <v>30.729999542236328</v>
      </c>
      <c r="J169" s="701">
        <v>80</v>
      </c>
      <c r="K169" s="702">
        <v>2458.699951171875</v>
      </c>
    </row>
    <row r="170" spans="1:11" ht="14.4" customHeight="1" x14ac:dyDescent="0.3">
      <c r="A170" s="696" t="s">
        <v>505</v>
      </c>
      <c r="B170" s="697" t="s">
        <v>506</v>
      </c>
      <c r="C170" s="698" t="s">
        <v>519</v>
      </c>
      <c r="D170" s="699" t="s">
        <v>520</v>
      </c>
      <c r="E170" s="698" t="s">
        <v>2140</v>
      </c>
      <c r="F170" s="699" t="s">
        <v>2141</v>
      </c>
      <c r="G170" s="698" t="s">
        <v>2201</v>
      </c>
      <c r="H170" s="698" t="s">
        <v>2202</v>
      </c>
      <c r="I170" s="701">
        <v>30.729999542236328</v>
      </c>
      <c r="J170" s="701">
        <v>60</v>
      </c>
      <c r="K170" s="702">
        <v>1844</v>
      </c>
    </row>
    <row r="171" spans="1:11" ht="14.4" customHeight="1" x14ac:dyDescent="0.3">
      <c r="A171" s="696" t="s">
        <v>505</v>
      </c>
      <c r="B171" s="697" t="s">
        <v>506</v>
      </c>
      <c r="C171" s="698" t="s">
        <v>519</v>
      </c>
      <c r="D171" s="699" t="s">
        <v>520</v>
      </c>
      <c r="E171" s="698" t="s">
        <v>2140</v>
      </c>
      <c r="F171" s="699" t="s">
        <v>2141</v>
      </c>
      <c r="G171" s="698" t="s">
        <v>2203</v>
      </c>
      <c r="H171" s="698" t="s">
        <v>2204</v>
      </c>
      <c r="I171" s="701">
        <v>30.729999542236328</v>
      </c>
      <c r="J171" s="701">
        <v>80</v>
      </c>
      <c r="K171" s="702">
        <v>2458.699951171875</v>
      </c>
    </row>
    <row r="172" spans="1:11" ht="14.4" customHeight="1" x14ac:dyDescent="0.3">
      <c r="A172" s="696" t="s">
        <v>505</v>
      </c>
      <c r="B172" s="697" t="s">
        <v>506</v>
      </c>
      <c r="C172" s="698" t="s">
        <v>519</v>
      </c>
      <c r="D172" s="699" t="s">
        <v>520</v>
      </c>
      <c r="E172" s="698" t="s">
        <v>2140</v>
      </c>
      <c r="F172" s="699" t="s">
        <v>2141</v>
      </c>
      <c r="G172" s="698" t="s">
        <v>2205</v>
      </c>
      <c r="H172" s="698" t="s">
        <v>2206</v>
      </c>
      <c r="I172" s="701">
        <v>30.734999656677246</v>
      </c>
      <c r="J172" s="701">
        <v>140</v>
      </c>
      <c r="K172" s="702">
        <v>4302.7999267578125</v>
      </c>
    </row>
    <row r="173" spans="1:11" ht="14.4" customHeight="1" x14ac:dyDescent="0.3">
      <c r="A173" s="696" t="s">
        <v>505</v>
      </c>
      <c r="B173" s="697" t="s">
        <v>506</v>
      </c>
      <c r="C173" s="698" t="s">
        <v>519</v>
      </c>
      <c r="D173" s="699" t="s">
        <v>520</v>
      </c>
      <c r="E173" s="698" t="s">
        <v>2140</v>
      </c>
      <c r="F173" s="699" t="s">
        <v>2141</v>
      </c>
      <c r="G173" s="698" t="s">
        <v>2207</v>
      </c>
      <c r="H173" s="698" t="s">
        <v>2208</v>
      </c>
      <c r="I173" s="701">
        <v>16.698750734329224</v>
      </c>
      <c r="J173" s="701">
        <v>720</v>
      </c>
      <c r="K173" s="702">
        <v>12022.60009765625</v>
      </c>
    </row>
    <row r="174" spans="1:11" ht="14.4" customHeight="1" x14ac:dyDescent="0.3">
      <c r="A174" s="696" t="s">
        <v>505</v>
      </c>
      <c r="B174" s="697" t="s">
        <v>506</v>
      </c>
      <c r="C174" s="698" t="s">
        <v>519</v>
      </c>
      <c r="D174" s="699" t="s">
        <v>520</v>
      </c>
      <c r="E174" s="698" t="s">
        <v>2140</v>
      </c>
      <c r="F174" s="699" t="s">
        <v>2141</v>
      </c>
      <c r="G174" s="698" t="s">
        <v>2209</v>
      </c>
      <c r="H174" s="698" t="s">
        <v>2210</v>
      </c>
      <c r="I174" s="701">
        <v>15.128000068664551</v>
      </c>
      <c r="J174" s="701">
        <v>500</v>
      </c>
      <c r="K174" s="702">
        <v>7562</v>
      </c>
    </row>
    <row r="175" spans="1:11" ht="14.4" customHeight="1" x14ac:dyDescent="0.3">
      <c r="A175" s="696" t="s">
        <v>505</v>
      </c>
      <c r="B175" s="697" t="s">
        <v>506</v>
      </c>
      <c r="C175" s="698" t="s">
        <v>519</v>
      </c>
      <c r="D175" s="699" t="s">
        <v>520</v>
      </c>
      <c r="E175" s="698" t="s">
        <v>2140</v>
      </c>
      <c r="F175" s="699" t="s">
        <v>2141</v>
      </c>
      <c r="G175" s="698" t="s">
        <v>2211</v>
      </c>
      <c r="H175" s="698" t="s">
        <v>2212</v>
      </c>
      <c r="I175" s="701">
        <v>31.069999694824219</v>
      </c>
      <c r="J175" s="701">
        <v>625</v>
      </c>
      <c r="K175" s="702">
        <v>19420.499816894531</v>
      </c>
    </row>
    <row r="176" spans="1:11" ht="14.4" customHeight="1" x14ac:dyDescent="0.3">
      <c r="A176" s="696" t="s">
        <v>505</v>
      </c>
      <c r="B176" s="697" t="s">
        <v>506</v>
      </c>
      <c r="C176" s="698" t="s">
        <v>519</v>
      </c>
      <c r="D176" s="699" t="s">
        <v>520</v>
      </c>
      <c r="E176" s="698" t="s">
        <v>2140</v>
      </c>
      <c r="F176" s="699" t="s">
        <v>2141</v>
      </c>
      <c r="G176" s="698" t="s">
        <v>2213</v>
      </c>
      <c r="H176" s="698" t="s">
        <v>2214</v>
      </c>
      <c r="I176" s="701">
        <v>17.899999618530273</v>
      </c>
      <c r="J176" s="701">
        <v>10</v>
      </c>
      <c r="K176" s="702">
        <v>179</v>
      </c>
    </row>
    <row r="177" spans="1:11" ht="14.4" customHeight="1" x14ac:dyDescent="0.3">
      <c r="A177" s="696" t="s">
        <v>505</v>
      </c>
      <c r="B177" s="697" t="s">
        <v>506</v>
      </c>
      <c r="C177" s="698" t="s">
        <v>519</v>
      </c>
      <c r="D177" s="699" t="s">
        <v>520</v>
      </c>
      <c r="E177" s="698" t="s">
        <v>2140</v>
      </c>
      <c r="F177" s="699" t="s">
        <v>2141</v>
      </c>
      <c r="G177" s="698" t="s">
        <v>2215</v>
      </c>
      <c r="H177" s="698" t="s">
        <v>2216</v>
      </c>
      <c r="I177" s="701">
        <v>17.909999847412109</v>
      </c>
      <c r="J177" s="701">
        <v>10</v>
      </c>
      <c r="K177" s="702">
        <v>179.10000610351562</v>
      </c>
    </row>
    <row r="178" spans="1:11" ht="14.4" customHeight="1" x14ac:dyDescent="0.3">
      <c r="A178" s="696" t="s">
        <v>505</v>
      </c>
      <c r="B178" s="697" t="s">
        <v>506</v>
      </c>
      <c r="C178" s="698" t="s">
        <v>519</v>
      </c>
      <c r="D178" s="699" t="s">
        <v>520</v>
      </c>
      <c r="E178" s="698" t="s">
        <v>2140</v>
      </c>
      <c r="F178" s="699" t="s">
        <v>2141</v>
      </c>
      <c r="G178" s="698" t="s">
        <v>2217</v>
      </c>
      <c r="H178" s="698" t="s">
        <v>2218</v>
      </c>
      <c r="I178" s="701">
        <v>17.906666437784832</v>
      </c>
      <c r="J178" s="701">
        <v>40</v>
      </c>
      <c r="K178" s="702">
        <v>716.30001831054687</v>
      </c>
    </row>
    <row r="179" spans="1:11" ht="14.4" customHeight="1" x14ac:dyDescent="0.3">
      <c r="A179" s="696" t="s">
        <v>505</v>
      </c>
      <c r="B179" s="697" t="s">
        <v>506</v>
      </c>
      <c r="C179" s="698" t="s">
        <v>519</v>
      </c>
      <c r="D179" s="699" t="s">
        <v>520</v>
      </c>
      <c r="E179" s="698" t="s">
        <v>2140</v>
      </c>
      <c r="F179" s="699" t="s">
        <v>2141</v>
      </c>
      <c r="G179" s="698" t="s">
        <v>2219</v>
      </c>
      <c r="H179" s="698" t="s">
        <v>2220</v>
      </c>
      <c r="I179" s="701">
        <v>646.739990234375</v>
      </c>
      <c r="J179" s="701">
        <v>4</v>
      </c>
      <c r="K179" s="702">
        <v>2586.9599609375</v>
      </c>
    </row>
    <row r="180" spans="1:11" ht="14.4" customHeight="1" x14ac:dyDescent="0.3">
      <c r="A180" s="696" t="s">
        <v>505</v>
      </c>
      <c r="B180" s="697" t="s">
        <v>506</v>
      </c>
      <c r="C180" s="698" t="s">
        <v>519</v>
      </c>
      <c r="D180" s="699" t="s">
        <v>520</v>
      </c>
      <c r="E180" s="698" t="s">
        <v>2140</v>
      </c>
      <c r="F180" s="699" t="s">
        <v>2141</v>
      </c>
      <c r="G180" s="698" t="s">
        <v>2221</v>
      </c>
      <c r="H180" s="698" t="s">
        <v>2222</v>
      </c>
      <c r="I180" s="701">
        <v>484.05500793457031</v>
      </c>
      <c r="J180" s="701">
        <v>10</v>
      </c>
      <c r="K180" s="702">
        <v>4840.4500732421875</v>
      </c>
    </row>
    <row r="181" spans="1:11" ht="14.4" customHeight="1" x14ac:dyDescent="0.3">
      <c r="A181" s="696" t="s">
        <v>505</v>
      </c>
      <c r="B181" s="697" t="s">
        <v>506</v>
      </c>
      <c r="C181" s="698" t="s">
        <v>519</v>
      </c>
      <c r="D181" s="699" t="s">
        <v>520</v>
      </c>
      <c r="E181" s="698" t="s">
        <v>2140</v>
      </c>
      <c r="F181" s="699" t="s">
        <v>2141</v>
      </c>
      <c r="G181" s="698" t="s">
        <v>2223</v>
      </c>
      <c r="H181" s="698" t="s">
        <v>2224</v>
      </c>
      <c r="I181" s="701">
        <v>527.969970703125</v>
      </c>
      <c r="J181" s="701">
        <v>20</v>
      </c>
      <c r="K181" s="702">
        <v>10559.2998046875</v>
      </c>
    </row>
    <row r="182" spans="1:11" ht="14.4" customHeight="1" x14ac:dyDescent="0.3">
      <c r="A182" s="696" t="s">
        <v>505</v>
      </c>
      <c r="B182" s="697" t="s">
        <v>506</v>
      </c>
      <c r="C182" s="698" t="s">
        <v>519</v>
      </c>
      <c r="D182" s="699" t="s">
        <v>520</v>
      </c>
      <c r="E182" s="698" t="s">
        <v>2140</v>
      </c>
      <c r="F182" s="699" t="s">
        <v>2141</v>
      </c>
      <c r="G182" s="698" t="s">
        <v>2225</v>
      </c>
      <c r="H182" s="698" t="s">
        <v>2226</v>
      </c>
      <c r="I182" s="701">
        <v>646.760009765625</v>
      </c>
      <c r="J182" s="701">
        <v>12</v>
      </c>
      <c r="K182" s="702">
        <v>7761.1201171875</v>
      </c>
    </row>
    <row r="183" spans="1:11" ht="14.4" customHeight="1" x14ac:dyDescent="0.3">
      <c r="A183" s="696" t="s">
        <v>505</v>
      </c>
      <c r="B183" s="697" t="s">
        <v>506</v>
      </c>
      <c r="C183" s="698" t="s">
        <v>519</v>
      </c>
      <c r="D183" s="699" t="s">
        <v>520</v>
      </c>
      <c r="E183" s="698" t="s">
        <v>2140</v>
      </c>
      <c r="F183" s="699" t="s">
        <v>2141</v>
      </c>
      <c r="G183" s="698" t="s">
        <v>2227</v>
      </c>
      <c r="H183" s="698" t="s">
        <v>2228</v>
      </c>
      <c r="I183" s="701">
        <v>484.04000854492187</v>
      </c>
      <c r="J183" s="701">
        <v>30</v>
      </c>
      <c r="K183" s="702">
        <v>14521.19970703125</v>
      </c>
    </row>
    <row r="184" spans="1:11" ht="14.4" customHeight="1" x14ac:dyDescent="0.3">
      <c r="A184" s="696" t="s">
        <v>505</v>
      </c>
      <c r="B184" s="697" t="s">
        <v>506</v>
      </c>
      <c r="C184" s="698" t="s">
        <v>519</v>
      </c>
      <c r="D184" s="699" t="s">
        <v>520</v>
      </c>
      <c r="E184" s="698" t="s">
        <v>2140</v>
      </c>
      <c r="F184" s="699" t="s">
        <v>2141</v>
      </c>
      <c r="G184" s="698" t="s">
        <v>2229</v>
      </c>
      <c r="H184" s="698" t="s">
        <v>2230</v>
      </c>
      <c r="I184" s="701">
        <v>527.969970703125</v>
      </c>
      <c r="J184" s="701">
        <v>10</v>
      </c>
      <c r="K184" s="702">
        <v>5279.64990234375</v>
      </c>
    </row>
    <row r="185" spans="1:11" ht="14.4" customHeight="1" x14ac:dyDescent="0.3">
      <c r="A185" s="696" t="s">
        <v>505</v>
      </c>
      <c r="B185" s="697" t="s">
        <v>506</v>
      </c>
      <c r="C185" s="698" t="s">
        <v>519</v>
      </c>
      <c r="D185" s="699" t="s">
        <v>520</v>
      </c>
      <c r="E185" s="698" t="s">
        <v>2140</v>
      </c>
      <c r="F185" s="699" t="s">
        <v>2141</v>
      </c>
      <c r="G185" s="698" t="s">
        <v>2231</v>
      </c>
      <c r="H185" s="698" t="s">
        <v>2232</v>
      </c>
      <c r="I185" s="701">
        <v>527.969970703125</v>
      </c>
      <c r="J185" s="701">
        <v>10</v>
      </c>
      <c r="K185" s="702">
        <v>5279.64990234375</v>
      </c>
    </row>
    <row r="186" spans="1:11" ht="14.4" customHeight="1" x14ac:dyDescent="0.3">
      <c r="A186" s="696" t="s">
        <v>505</v>
      </c>
      <c r="B186" s="697" t="s">
        <v>506</v>
      </c>
      <c r="C186" s="698" t="s">
        <v>519</v>
      </c>
      <c r="D186" s="699" t="s">
        <v>520</v>
      </c>
      <c r="E186" s="698" t="s">
        <v>2140</v>
      </c>
      <c r="F186" s="699" t="s">
        <v>2141</v>
      </c>
      <c r="G186" s="698" t="s">
        <v>2233</v>
      </c>
      <c r="H186" s="698" t="s">
        <v>2234</v>
      </c>
      <c r="I186" s="701">
        <v>646.760009765625</v>
      </c>
      <c r="J186" s="701">
        <v>4</v>
      </c>
      <c r="K186" s="702">
        <v>2587.050048828125</v>
      </c>
    </row>
    <row r="187" spans="1:11" ht="14.4" customHeight="1" x14ac:dyDescent="0.3">
      <c r="A187" s="696" t="s">
        <v>505</v>
      </c>
      <c r="B187" s="697" t="s">
        <v>506</v>
      </c>
      <c r="C187" s="698" t="s">
        <v>519</v>
      </c>
      <c r="D187" s="699" t="s">
        <v>520</v>
      </c>
      <c r="E187" s="698" t="s">
        <v>2140</v>
      </c>
      <c r="F187" s="699" t="s">
        <v>2141</v>
      </c>
      <c r="G187" s="698" t="s">
        <v>2235</v>
      </c>
      <c r="H187" s="698" t="s">
        <v>2236</v>
      </c>
      <c r="I187" s="701">
        <v>17.979999542236328</v>
      </c>
      <c r="J187" s="701">
        <v>100</v>
      </c>
      <c r="K187" s="702">
        <v>1798</v>
      </c>
    </row>
    <row r="188" spans="1:11" ht="14.4" customHeight="1" x14ac:dyDescent="0.3">
      <c r="A188" s="696" t="s">
        <v>505</v>
      </c>
      <c r="B188" s="697" t="s">
        <v>506</v>
      </c>
      <c r="C188" s="698" t="s">
        <v>519</v>
      </c>
      <c r="D188" s="699" t="s">
        <v>520</v>
      </c>
      <c r="E188" s="698" t="s">
        <v>2140</v>
      </c>
      <c r="F188" s="699" t="s">
        <v>2141</v>
      </c>
      <c r="G188" s="698" t="s">
        <v>2237</v>
      </c>
      <c r="H188" s="698" t="s">
        <v>2238</v>
      </c>
      <c r="I188" s="701">
        <v>17.978570938110352</v>
      </c>
      <c r="J188" s="701">
        <v>500</v>
      </c>
      <c r="K188" s="702">
        <v>8989.5</v>
      </c>
    </row>
    <row r="189" spans="1:11" ht="14.4" customHeight="1" x14ac:dyDescent="0.3">
      <c r="A189" s="696" t="s">
        <v>505</v>
      </c>
      <c r="B189" s="697" t="s">
        <v>506</v>
      </c>
      <c r="C189" s="698" t="s">
        <v>519</v>
      </c>
      <c r="D189" s="699" t="s">
        <v>520</v>
      </c>
      <c r="E189" s="698" t="s">
        <v>2140</v>
      </c>
      <c r="F189" s="699" t="s">
        <v>2141</v>
      </c>
      <c r="G189" s="698" t="s">
        <v>2239</v>
      </c>
      <c r="H189" s="698" t="s">
        <v>2240</v>
      </c>
      <c r="I189" s="701">
        <v>17.979999542236328</v>
      </c>
      <c r="J189" s="701">
        <v>250</v>
      </c>
      <c r="K189" s="702">
        <v>4495</v>
      </c>
    </row>
    <row r="190" spans="1:11" ht="14.4" customHeight="1" x14ac:dyDescent="0.3">
      <c r="A190" s="696" t="s">
        <v>505</v>
      </c>
      <c r="B190" s="697" t="s">
        <v>506</v>
      </c>
      <c r="C190" s="698" t="s">
        <v>519</v>
      </c>
      <c r="D190" s="699" t="s">
        <v>520</v>
      </c>
      <c r="E190" s="698" t="s">
        <v>2140</v>
      </c>
      <c r="F190" s="699" t="s">
        <v>2141</v>
      </c>
      <c r="G190" s="698" t="s">
        <v>2241</v>
      </c>
      <c r="H190" s="698" t="s">
        <v>2242</v>
      </c>
      <c r="I190" s="701">
        <v>12.100000381469727</v>
      </c>
      <c r="J190" s="701">
        <v>850</v>
      </c>
      <c r="K190" s="702">
        <v>10285</v>
      </c>
    </row>
    <row r="191" spans="1:11" ht="14.4" customHeight="1" x14ac:dyDescent="0.3">
      <c r="A191" s="696" t="s">
        <v>505</v>
      </c>
      <c r="B191" s="697" t="s">
        <v>506</v>
      </c>
      <c r="C191" s="698" t="s">
        <v>519</v>
      </c>
      <c r="D191" s="699" t="s">
        <v>520</v>
      </c>
      <c r="E191" s="698" t="s">
        <v>2140</v>
      </c>
      <c r="F191" s="699" t="s">
        <v>2141</v>
      </c>
      <c r="G191" s="698" t="s">
        <v>2243</v>
      </c>
      <c r="H191" s="698" t="s">
        <v>2244</v>
      </c>
      <c r="I191" s="701">
        <v>70.180000305175781</v>
      </c>
      <c r="J191" s="701">
        <v>120</v>
      </c>
      <c r="K191" s="702">
        <v>8421</v>
      </c>
    </row>
    <row r="192" spans="1:11" ht="14.4" customHeight="1" x14ac:dyDescent="0.3">
      <c r="A192" s="696" t="s">
        <v>505</v>
      </c>
      <c r="B192" s="697" t="s">
        <v>506</v>
      </c>
      <c r="C192" s="698" t="s">
        <v>519</v>
      </c>
      <c r="D192" s="699" t="s">
        <v>520</v>
      </c>
      <c r="E192" s="698" t="s">
        <v>2140</v>
      </c>
      <c r="F192" s="699" t="s">
        <v>2141</v>
      </c>
      <c r="G192" s="698" t="s">
        <v>2245</v>
      </c>
      <c r="H192" s="698" t="s">
        <v>2246</v>
      </c>
      <c r="I192" s="701">
        <v>13.210000038146973</v>
      </c>
      <c r="J192" s="701">
        <v>10</v>
      </c>
      <c r="K192" s="702">
        <v>132.10000610351562</v>
      </c>
    </row>
    <row r="193" spans="1:11" ht="14.4" customHeight="1" x14ac:dyDescent="0.3">
      <c r="A193" s="696" t="s">
        <v>505</v>
      </c>
      <c r="B193" s="697" t="s">
        <v>506</v>
      </c>
      <c r="C193" s="698" t="s">
        <v>519</v>
      </c>
      <c r="D193" s="699" t="s">
        <v>520</v>
      </c>
      <c r="E193" s="698" t="s">
        <v>2140</v>
      </c>
      <c r="F193" s="699" t="s">
        <v>2141</v>
      </c>
      <c r="G193" s="698" t="s">
        <v>2247</v>
      </c>
      <c r="H193" s="698" t="s">
        <v>2248</v>
      </c>
      <c r="I193" s="701">
        <v>22.989999771118164</v>
      </c>
      <c r="J193" s="701">
        <v>60</v>
      </c>
      <c r="K193" s="702">
        <v>1379.3999633789062</v>
      </c>
    </row>
    <row r="194" spans="1:11" ht="14.4" customHeight="1" x14ac:dyDescent="0.3">
      <c r="A194" s="696" t="s">
        <v>505</v>
      </c>
      <c r="B194" s="697" t="s">
        <v>506</v>
      </c>
      <c r="C194" s="698" t="s">
        <v>519</v>
      </c>
      <c r="D194" s="699" t="s">
        <v>520</v>
      </c>
      <c r="E194" s="698" t="s">
        <v>2140</v>
      </c>
      <c r="F194" s="699" t="s">
        <v>2141</v>
      </c>
      <c r="G194" s="698" t="s">
        <v>2249</v>
      </c>
      <c r="H194" s="698" t="s">
        <v>2250</v>
      </c>
      <c r="I194" s="701">
        <v>22.989999771118164</v>
      </c>
      <c r="J194" s="701">
        <v>90</v>
      </c>
      <c r="K194" s="702">
        <v>2069.1000061035156</v>
      </c>
    </row>
    <row r="195" spans="1:11" ht="14.4" customHeight="1" x14ac:dyDescent="0.3">
      <c r="A195" s="696" t="s">
        <v>505</v>
      </c>
      <c r="B195" s="697" t="s">
        <v>506</v>
      </c>
      <c r="C195" s="698" t="s">
        <v>519</v>
      </c>
      <c r="D195" s="699" t="s">
        <v>520</v>
      </c>
      <c r="E195" s="698" t="s">
        <v>2140</v>
      </c>
      <c r="F195" s="699" t="s">
        <v>2141</v>
      </c>
      <c r="G195" s="698" t="s">
        <v>2251</v>
      </c>
      <c r="H195" s="698" t="s">
        <v>2252</v>
      </c>
      <c r="I195" s="701">
        <v>4.0277779367234974</v>
      </c>
      <c r="J195" s="701">
        <v>2700</v>
      </c>
      <c r="K195" s="702">
        <v>10874.5</v>
      </c>
    </row>
    <row r="196" spans="1:11" ht="14.4" customHeight="1" x14ac:dyDescent="0.3">
      <c r="A196" s="696" t="s">
        <v>505</v>
      </c>
      <c r="B196" s="697" t="s">
        <v>506</v>
      </c>
      <c r="C196" s="698" t="s">
        <v>519</v>
      </c>
      <c r="D196" s="699" t="s">
        <v>520</v>
      </c>
      <c r="E196" s="698" t="s">
        <v>2140</v>
      </c>
      <c r="F196" s="699" t="s">
        <v>2141</v>
      </c>
      <c r="G196" s="698" t="s">
        <v>2253</v>
      </c>
      <c r="H196" s="698" t="s">
        <v>2254</v>
      </c>
      <c r="I196" s="701">
        <v>108.89500045776367</v>
      </c>
      <c r="J196" s="701">
        <v>40</v>
      </c>
      <c r="K196" s="702">
        <v>4355.8798828125</v>
      </c>
    </row>
    <row r="197" spans="1:11" ht="14.4" customHeight="1" x14ac:dyDescent="0.3">
      <c r="A197" s="696" t="s">
        <v>505</v>
      </c>
      <c r="B197" s="697" t="s">
        <v>506</v>
      </c>
      <c r="C197" s="698" t="s">
        <v>519</v>
      </c>
      <c r="D197" s="699" t="s">
        <v>520</v>
      </c>
      <c r="E197" s="698" t="s">
        <v>2140</v>
      </c>
      <c r="F197" s="699" t="s">
        <v>2141</v>
      </c>
      <c r="G197" s="698" t="s">
        <v>2253</v>
      </c>
      <c r="H197" s="698" t="s">
        <v>2255</v>
      </c>
      <c r="I197" s="701">
        <v>104.58750152587891</v>
      </c>
      <c r="J197" s="701">
        <v>140</v>
      </c>
      <c r="K197" s="702">
        <v>14556.2001953125</v>
      </c>
    </row>
    <row r="198" spans="1:11" ht="14.4" customHeight="1" x14ac:dyDescent="0.3">
      <c r="A198" s="696" t="s">
        <v>505</v>
      </c>
      <c r="B198" s="697" t="s">
        <v>506</v>
      </c>
      <c r="C198" s="698" t="s">
        <v>519</v>
      </c>
      <c r="D198" s="699" t="s">
        <v>520</v>
      </c>
      <c r="E198" s="698" t="s">
        <v>2140</v>
      </c>
      <c r="F198" s="699" t="s">
        <v>2141</v>
      </c>
      <c r="G198" s="698" t="s">
        <v>2256</v>
      </c>
      <c r="H198" s="698" t="s">
        <v>2257</v>
      </c>
      <c r="I198" s="701">
        <v>12.100000381469727</v>
      </c>
      <c r="J198" s="701">
        <v>2800</v>
      </c>
      <c r="K198" s="702">
        <v>33880</v>
      </c>
    </row>
    <row r="199" spans="1:11" ht="14.4" customHeight="1" x14ac:dyDescent="0.3">
      <c r="A199" s="696" t="s">
        <v>505</v>
      </c>
      <c r="B199" s="697" t="s">
        <v>506</v>
      </c>
      <c r="C199" s="698" t="s">
        <v>519</v>
      </c>
      <c r="D199" s="699" t="s">
        <v>520</v>
      </c>
      <c r="E199" s="698" t="s">
        <v>2140</v>
      </c>
      <c r="F199" s="699" t="s">
        <v>2141</v>
      </c>
      <c r="G199" s="698" t="s">
        <v>2258</v>
      </c>
      <c r="H199" s="698" t="s">
        <v>2259</v>
      </c>
      <c r="I199" s="701">
        <v>9.4938460129957924</v>
      </c>
      <c r="J199" s="701">
        <v>4400</v>
      </c>
      <c r="K199" s="702">
        <v>41840</v>
      </c>
    </row>
    <row r="200" spans="1:11" ht="14.4" customHeight="1" x14ac:dyDescent="0.3">
      <c r="A200" s="696" t="s">
        <v>505</v>
      </c>
      <c r="B200" s="697" t="s">
        <v>506</v>
      </c>
      <c r="C200" s="698" t="s">
        <v>519</v>
      </c>
      <c r="D200" s="699" t="s">
        <v>520</v>
      </c>
      <c r="E200" s="698" t="s">
        <v>2140</v>
      </c>
      <c r="F200" s="699" t="s">
        <v>2141</v>
      </c>
      <c r="G200" s="698" t="s">
        <v>2260</v>
      </c>
      <c r="H200" s="698" t="s">
        <v>2261</v>
      </c>
      <c r="I200" s="701">
        <v>10.074999809265137</v>
      </c>
      <c r="J200" s="701">
        <v>120</v>
      </c>
      <c r="K200" s="702">
        <v>1209.1699829101562</v>
      </c>
    </row>
    <row r="201" spans="1:11" ht="14.4" customHeight="1" x14ac:dyDescent="0.3">
      <c r="A201" s="696" t="s">
        <v>505</v>
      </c>
      <c r="B201" s="697" t="s">
        <v>506</v>
      </c>
      <c r="C201" s="698" t="s">
        <v>519</v>
      </c>
      <c r="D201" s="699" t="s">
        <v>520</v>
      </c>
      <c r="E201" s="698" t="s">
        <v>2140</v>
      </c>
      <c r="F201" s="699" t="s">
        <v>2141</v>
      </c>
      <c r="G201" s="698" t="s">
        <v>2262</v>
      </c>
      <c r="H201" s="698" t="s">
        <v>2263</v>
      </c>
      <c r="I201" s="701">
        <v>10.069999694824219</v>
      </c>
      <c r="J201" s="701">
        <v>30</v>
      </c>
      <c r="K201" s="702">
        <v>302.10000610351562</v>
      </c>
    </row>
    <row r="202" spans="1:11" ht="14.4" customHeight="1" x14ac:dyDescent="0.3">
      <c r="A202" s="696" t="s">
        <v>505</v>
      </c>
      <c r="B202" s="697" t="s">
        <v>506</v>
      </c>
      <c r="C202" s="698" t="s">
        <v>519</v>
      </c>
      <c r="D202" s="699" t="s">
        <v>520</v>
      </c>
      <c r="E202" s="698" t="s">
        <v>2140</v>
      </c>
      <c r="F202" s="699" t="s">
        <v>2141</v>
      </c>
      <c r="G202" s="698" t="s">
        <v>2264</v>
      </c>
      <c r="H202" s="698" t="s">
        <v>2265</v>
      </c>
      <c r="I202" s="701">
        <v>3.869999885559082</v>
      </c>
      <c r="J202" s="701">
        <v>2900</v>
      </c>
      <c r="K202" s="702">
        <v>11228.799987792969</v>
      </c>
    </row>
    <row r="203" spans="1:11" ht="14.4" customHeight="1" x14ac:dyDescent="0.3">
      <c r="A203" s="696" t="s">
        <v>505</v>
      </c>
      <c r="B203" s="697" t="s">
        <v>506</v>
      </c>
      <c r="C203" s="698" t="s">
        <v>519</v>
      </c>
      <c r="D203" s="699" t="s">
        <v>520</v>
      </c>
      <c r="E203" s="698" t="s">
        <v>2140</v>
      </c>
      <c r="F203" s="699" t="s">
        <v>2141</v>
      </c>
      <c r="G203" s="698" t="s">
        <v>2266</v>
      </c>
      <c r="H203" s="698" t="s">
        <v>2267</v>
      </c>
      <c r="I203" s="701">
        <v>4.6237499713897705</v>
      </c>
      <c r="J203" s="701">
        <v>270</v>
      </c>
      <c r="K203" s="702">
        <v>1248.1999969482422</v>
      </c>
    </row>
    <row r="204" spans="1:11" ht="14.4" customHeight="1" x14ac:dyDescent="0.3">
      <c r="A204" s="696" t="s">
        <v>505</v>
      </c>
      <c r="B204" s="697" t="s">
        <v>506</v>
      </c>
      <c r="C204" s="698" t="s">
        <v>519</v>
      </c>
      <c r="D204" s="699" t="s">
        <v>520</v>
      </c>
      <c r="E204" s="698" t="s">
        <v>2140</v>
      </c>
      <c r="F204" s="699" t="s">
        <v>2141</v>
      </c>
      <c r="G204" s="698" t="s">
        <v>2268</v>
      </c>
      <c r="H204" s="698" t="s">
        <v>2269</v>
      </c>
      <c r="I204" s="701">
        <v>3.1441667675971985</v>
      </c>
      <c r="J204" s="701">
        <v>330</v>
      </c>
      <c r="K204" s="702">
        <v>1037.7999877929687</v>
      </c>
    </row>
    <row r="205" spans="1:11" ht="14.4" customHeight="1" x14ac:dyDescent="0.3">
      <c r="A205" s="696" t="s">
        <v>505</v>
      </c>
      <c r="B205" s="697" t="s">
        <v>506</v>
      </c>
      <c r="C205" s="698" t="s">
        <v>519</v>
      </c>
      <c r="D205" s="699" t="s">
        <v>520</v>
      </c>
      <c r="E205" s="698" t="s">
        <v>2140</v>
      </c>
      <c r="F205" s="699" t="s">
        <v>2141</v>
      </c>
      <c r="G205" s="698" t="s">
        <v>2270</v>
      </c>
      <c r="H205" s="698" t="s">
        <v>2271</v>
      </c>
      <c r="I205" s="701">
        <v>314.60000610351562</v>
      </c>
      <c r="J205" s="701">
        <v>50</v>
      </c>
      <c r="K205" s="702">
        <v>15730</v>
      </c>
    </row>
    <row r="206" spans="1:11" ht="14.4" customHeight="1" x14ac:dyDescent="0.3">
      <c r="A206" s="696" t="s">
        <v>505</v>
      </c>
      <c r="B206" s="697" t="s">
        <v>506</v>
      </c>
      <c r="C206" s="698" t="s">
        <v>519</v>
      </c>
      <c r="D206" s="699" t="s">
        <v>520</v>
      </c>
      <c r="E206" s="698" t="s">
        <v>2140</v>
      </c>
      <c r="F206" s="699" t="s">
        <v>2141</v>
      </c>
      <c r="G206" s="698" t="s">
        <v>2270</v>
      </c>
      <c r="H206" s="698" t="s">
        <v>2272</v>
      </c>
      <c r="I206" s="701">
        <v>314.60000610351562</v>
      </c>
      <c r="J206" s="701">
        <v>20</v>
      </c>
      <c r="K206" s="702">
        <v>6292</v>
      </c>
    </row>
    <row r="207" spans="1:11" ht="14.4" customHeight="1" x14ac:dyDescent="0.3">
      <c r="A207" s="696" t="s">
        <v>505</v>
      </c>
      <c r="B207" s="697" t="s">
        <v>506</v>
      </c>
      <c r="C207" s="698" t="s">
        <v>519</v>
      </c>
      <c r="D207" s="699" t="s">
        <v>520</v>
      </c>
      <c r="E207" s="698" t="s">
        <v>2140</v>
      </c>
      <c r="F207" s="699" t="s">
        <v>2141</v>
      </c>
      <c r="G207" s="698" t="s">
        <v>2273</v>
      </c>
      <c r="H207" s="698" t="s">
        <v>2274</v>
      </c>
      <c r="I207" s="701">
        <v>1109.27001953125</v>
      </c>
      <c r="J207" s="701">
        <v>12</v>
      </c>
      <c r="K207" s="702">
        <v>13311.2197265625</v>
      </c>
    </row>
    <row r="208" spans="1:11" ht="14.4" customHeight="1" x14ac:dyDescent="0.3">
      <c r="A208" s="696" t="s">
        <v>505</v>
      </c>
      <c r="B208" s="697" t="s">
        <v>506</v>
      </c>
      <c r="C208" s="698" t="s">
        <v>519</v>
      </c>
      <c r="D208" s="699" t="s">
        <v>520</v>
      </c>
      <c r="E208" s="698" t="s">
        <v>2140</v>
      </c>
      <c r="F208" s="699" t="s">
        <v>2141</v>
      </c>
      <c r="G208" s="698" t="s">
        <v>2275</v>
      </c>
      <c r="H208" s="698" t="s">
        <v>2276</v>
      </c>
      <c r="I208" s="701">
        <v>80.575000762939453</v>
      </c>
      <c r="J208" s="701">
        <v>599</v>
      </c>
      <c r="K208" s="702">
        <v>48265.309753417969</v>
      </c>
    </row>
    <row r="209" spans="1:11" ht="14.4" customHeight="1" x14ac:dyDescent="0.3">
      <c r="A209" s="696" t="s">
        <v>505</v>
      </c>
      <c r="B209" s="697" t="s">
        <v>506</v>
      </c>
      <c r="C209" s="698" t="s">
        <v>519</v>
      </c>
      <c r="D209" s="699" t="s">
        <v>520</v>
      </c>
      <c r="E209" s="698" t="s">
        <v>2140</v>
      </c>
      <c r="F209" s="699" t="s">
        <v>2141</v>
      </c>
      <c r="G209" s="698" t="s">
        <v>2277</v>
      </c>
      <c r="H209" s="698" t="s">
        <v>2278</v>
      </c>
      <c r="I209" s="701">
        <v>39.930000305175781</v>
      </c>
      <c r="J209" s="701">
        <v>240</v>
      </c>
      <c r="K209" s="702">
        <v>9583.19970703125</v>
      </c>
    </row>
    <row r="210" spans="1:11" ht="14.4" customHeight="1" x14ac:dyDescent="0.3">
      <c r="A210" s="696" t="s">
        <v>505</v>
      </c>
      <c r="B210" s="697" t="s">
        <v>506</v>
      </c>
      <c r="C210" s="698" t="s">
        <v>519</v>
      </c>
      <c r="D210" s="699" t="s">
        <v>520</v>
      </c>
      <c r="E210" s="698" t="s">
        <v>2140</v>
      </c>
      <c r="F210" s="699" t="s">
        <v>2141</v>
      </c>
      <c r="G210" s="698" t="s">
        <v>2279</v>
      </c>
      <c r="H210" s="698" t="s">
        <v>2280</v>
      </c>
      <c r="I210" s="701">
        <v>102.84999847412109</v>
      </c>
      <c r="J210" s="701">
        <v>195</v>
      </c>
      <c r="K210" s="702">
        <v>20055.749603271484</v>
      </c>
    </row>
    <row r="211" spans="1:11" ht="14.4" customHeight="1" x14ac:dyDescent="0.3">
      <c r="A211" s="696" t="s">
        <v>505</v>
      </c>
      <c r="B211" s="697" t="s">
        <v>506</v>
      </c>
      <c r="C211" s="698" t="s">
        <v>519</v>
      </c>
      <c r="D211" s="699" t="s">
        <v>520</v>
      </c>
      <c r="E211" s="698" t="s">
        <v>2140</v>
      </c>
      <c r="F211" s="699" t="s">
        <v>2141</v>
      </c>
      <c r="G211" s="698" t="s">
        <v>2281</v>
      </c>
      <c r="H211" s="698" t="s">
        <v>2282</v>
      </c>
      <c r="I211" s="701">
        <v>0.24916666373610497</v>
      </c>
      <c r="J211" s="701">
        <v>1300</v>
      </c>
      <c r="K211" s="702">
        <v>324.09000015258789</v>
      </c>
    </row>
    <row r="212" spans="1:11" ht="14.4" customHeight="1" x14ac:dyDescent="0.3">
      <c r="A212" s="696" t="s">
        <v>505</v>
      </c>
      <c r="B212" s="697" t="s">
        <v>506</v>
      </c>
      <c r="C212" s="698" t="s">
        <v>519</v>
      </c>
      <c r="D212" s="699" t="s">
        <v>520</v>
      </c>
      <c r="E212" s="698" t="s">
        <v>2140</v>
      </c>
      <c r="F212" s="699" t="s">
        <v>2141</v>
      </c>
      <c r="G212" s="698" t="s">
        <v>2283</v>
      </c>
      <c r="H212" s="698" t="s">
        <v>2284</v>
      </c>
      <c r="I212" s="701">
        <v>154</v>
      </c>
      <c r="J212" s="701">
        <v>30</v>
      </c>
      <c r="K212" s="702">
        <v>4619.89990234375</v>
      </c>
    </row>
    <row r="213" spans="1:11" ht="14.4" customHeight="1" x14ac:dyDescent="0.3">
      <c r="A213" s="696" t="s">
        <v>505</v>
      </c>
      <c r="B213" s="697" t="s">
        <v>506</v>
      </c>
      <c r="C213" s="698" t="s">
        <v>519</v>
      </c>
      <c r="D213" s="699" t="s">
        <v>520</v>
      </c>
      <c r="E213" s="698" t="s">
        <v>2140</v>
      </c>
      <c r="F213" s="699" t="s">
        <v>2141</v>
      </c>
      <c r="G213" s="698" t="s">
        <v>2285</v>
      </c>
      <c r="H213" s="698" t="s">
        <v>2286</v>
      </c>
      <c r="I213" s="701">
        <v>393.25</v>
      </c>
      <c r="J213" s="701">
        <v>10</v>
      </c>
      <c r="K213" s="702">
        <v>3932.5</v>
      </c>
    </row>
    <row r="214" spans="1:11" ht="14.4" customHeight="1" x14ac:dyDescent="0.3">
      <c r="A214" s="696" t="s">
        <v>505</v>
      </c>
      <c r="B214" s="697" t="s">
        <v>506</v>
      </c>
      <c r="C214" s="698" t="s">
        <v>519</v>
      </c>
      <c r="D214" s="699" t="s">
        <v>520</v>
      </c>
      <c r="E214" s="698" t="s">
        <v>2140</v>
      </c>
      <c r="F214" s="699" t="s">
        <v>2141</v>
      </c>
      <c r="G214" s="698" t="s">
        <v>2287</v>
      </c>
      <c r="H214" s="698" t="s">
        <v>2288</v>
      </c>
      <c r="I214" s="701">
        <v>1331</v>
      </c>
      <c r="J214" s="701">
        <v>4</v>
      </c>
      <c r="K214" s="702">
        <v>5324</v>
      </c>
    </row>
    <row r="215" spans="1:11" ht="14.4" customHeight="1" x14ac:dyDescent="0.3">
      <c r="A215" s="696" t="s">
        <v>505</v>
      </c>
      <c r="B215" s="697" t="s">
        <v>506</v>
      </c>
      <c r="C215" s="698" t="s">
        <v>519</v>
      </c>
      <c r="D215" s="699" t="s">
        <v>520</v>
      </c>
      <c r="E215" s="698" t="s">
        <v>2140</v>
      </c>
      <c r="F215" s="699" t="s">
        <v>2141</v>
      </c>
      <c r="G215" s="698" t="s">
        <v>2289</v>
      </c>
      <c r="H215" s="698" t="s">
        <v>2290</v>
      </c>
      <c r="I215" s="701">
        <v>302.635009765625</v>
      </c>
      <c r="J215" s="701">
        <v>8</v>
      </c>
      <c r="K215" s="702">
        <v>2421</v>
      </c>
    </row>
    <row r="216" spans="1:11" ht="14.4" customHeight="1" x14ac:dyDescent="0.3">
      <c r="A216" s="696" t="s">
        <v>505</v>
      </c>
      <c r="B216" s="697" t="s">
        <v>506</v>
      </c>
      <c r="C216" s="698" t="s">
        <v>519</v>
      </c>
      <c r="D216" s="699" t="s">
        <v>520</v>
      </c>
      <c r="E216" s="698" t="s">
        <v>2140</v>
      </c>
      <c r="F216" s="699" t="s">
        <v>2141</v>
      </c>
      <c r="G216" s="698" t="s">
        <v>2291</v>
      </c>
      <c r="H216" s="698" t="s">
        <v>2292</v>
      </c>
      <c r="I216" s="701">
        <v>24.399999618530273</v>
      </c>
      <c r="J216" s="701">
        <v>200</v>
      </c>
      <c r="K216" s="702">
        <v>4880.7900390625</v>
      </c>
    </row>
    <row r="217" spans="1:11" ht="14.4" customHeight="1" x14ac:dyDescent="0.3">
      <c r="A217" s="696" t="s">
        <v>505</v>
      </c>
      <c r="B217" s="697" t="s">
        <v>506</v>
      </c>
      <c r="C217" s="698" t="s">
        <v>519</v>
      </c>
      <c r="D217" s="699" t="s">
        <v>520</v>
      </c>
      <c r="E217" s="698" t="s">
        <v>2140</v>
      </c>
      <c r="F217" s="699" t="s">
        <v>2141</v>
      </c>
      <c r="G217" s="698" t="s">
        <v>2291</v>
      </c>
      <c r="H217" s="698" t="s">
        <v>2293</v>
      </c>
      <c r="I217" s="701">
        <v>24.513749837875366</v>
      </c>
      <c r="J217" s="701">
        <v>1000</v>
      </c>
      <c r="K217" s="702">
        <v>24448.159057617188</v>
      </c>
    </row>
    <row r="218" spans="1:11" ht="14.4" customHeight="1" x14ac:dyDescent="0.3">
      <c r="A218" s="696" t="s">
        <v>505</v>
      </c>
      <c r="B218" s="697" t="s">
        <v>506</v>
      </c>
      <c r="C218" s="698" t="s">
        <v>519</v>
      </c>
      <c r="D218" s="699" t="s">
        <v>520</v>
      </c>
      <c r="E218" s="698" t="s">
        <v>2140</v>
      </c>
      <c r="F218" s="699" t="s">
        <v>2141</v>
      </c>
      <c r="G218" s="698" t="s">
        <v>2294</v>
      </c>
      <c r="H218" s="698" t="s">
        <v>2295</v>
      </c>
      <c r="I218" s="701">
        <v>33.520000457763672</v>
      </c>
      <c r="J218" s="701">
        <v>10</v>
      </c>
      <c r="K218" s="702">
        <v>335.14999389648437</v>
      </c>
    </row>
    <row r="219" spans="1:11" ht="14.4" customHeight="1" x14ac:dyDescent="0.3">
      <c r="A219" s="696" t="s">
        <v>505</v>
      </c>
      <c r="B219" s="697" t="s">
        <v>506</v>
      </c>
      <c r="C219" s="698" t="s">
        <v>519</v>
      </c>
      <c r="D219" s="699" t="s">
        <v>520</v>
      </c>
      <c r="E219" s="698" t="s">
        <v>2140</v>
      </c>
      <c r="F219" s="699" t="s">
        <v>2141</v>
      </c>
      <c r="G219" s="698" t="s">
        <v>2296</v>
      </c>
      <c r="H219" s="698" t="s">
        <v>2297</v>
      </c>
      <c r="I219" s="701">
        <v>38.72772771661932</v>
      </c>
      <c r="J219" s="701">
        <v>2083</v>
      </c>
      <c r="K219" s="702">
        <v>80675.529418945313</v>
      </c>
    </row>
    <row r="220" spans="1:11" ht="14.4" customHeight="1" x14ac:dyDescent="0.3">
      <c r="A220" s="696" t="s">
        <v>505</v>
      </c>
      <c r="B220" s="697" t="s">
        <v>506</v>
      </c>
      <c r="C220" s="698" t="s">
        <v>519</v>
      </c>
      <c r="D220" s="699" t="s">
        <v>520</v>
      </c>
      <c r="E220" s="698" t="s">
        <v>2140</v>
      </c>
      <c r="F220" s="699" t="s">
        <v>2141</v>
      </c>
      <c r="G220" s="698" t="s">
        <v>2298</v>
      </c>
      <c r="H220" s="698" t="s">
        <v>2299</v>
      </c>
      <c r="I220" s="701">
        <v>58.917998504638675</v>
      </c>
      <c r="J220" s="701">
        <v>500</v>
      </c>
      <c r="K220" s="702">
        <v>29457.47998046875</v>
      </c>
    </row>
    <row r="221" spans="1:11" ht="14.4" customHeight="1" x14ac:dyDescent="0.3">
      <c r="A221" s="696" t="s">
        <v>505</v>
      </c>
      <c r="B221" s="697" t="s">
        <v>506</v>
      </c>
      <c r="C221" s="698" t="s">
        <v>519</v>
      </c>
      <c r="D221" s="699" t="s">
        <v>520</v>
      </c>
      <c r="E221" s="698" t="s">
        <v>2140</v>
      </c>
      <c r="F221" s="699" t="s">
        <v>2141</v>
      </c>
      <c r="G221" s="698" t="s">
        <v>2300</v>
      </c>
      <c r="H221" s="698" t="s">
        <v>2301</v>
      </c>
      <c r="I221" s="701">
        <v>1672.219970703125</v>
      </c>
      <c r="J221" s="701">
        <v>1</v>
      </c>
      <c r="K221" s="702">
        <v>1672.219970703125</v>
      </c>
    </row>
    <row r="222" spans="1:11" ht="14.4" customHeight="1" x14ac:dyDescent="0.3">
      <c r="A222" s="696" t="s">
        <v>505</v>
      </c>
      <c r="B222" s="697" t="s">
        <v>506</v>
      </c>
      <c r="C222" s="698" t="s">
        <v>519</v>
      </c>
      <c r="D222" s="699" t="s">
        <v>520</v>
      </c>
      <c r="E222" s="698" t="s">
        <v>2140</v>
      </c>
      <c r="F222" s="699" t="s">
        <v>2141</v>
      </c>
      <c r="G222" s="698" t="s">
        <v>2302</v>
      </c>
      <c r="H222" s="698" t="s">
        <v>2303</v>
      </c>
      <c r="I222" s="701">
        <v>13.310000419616699</v>
      </c>
      <c r="J222" s="701">
        <v>180</v>
      </c>
      <c r="K222" s="702">
        <v>2395.800048828125</v>
      </c>
    </row>
    <row r="223" spans="1:11" ht="14.4" customHeight="1" x14ac:dyDescent="0.3">
      <c r="A223" s="696" t="s">
        <v>505</v>
      </c>
      <c r="B223" s="697" t="s">
        <v>506</v>
      </c>
      <c r="C223" s="698" t="s">
        <v>519</v>
      </c>
      <c r="D223" s="699" t="s">
        <v>520</v>
      </c>
      <c r="E223" s="698" t="s">
        <v>2140</v>
      </c>
      <c r="F223" s="699" t="s">
        <v>2141</v>
      </c>
      <c r="G223" s="698" t="s">
        <v>2304</v>
      </c>
      <c r="H223" s="698" t="s">
        <v>2305</v>
      </c>
      <c r="I223" s="701">
        <v>25.532500743865967</v>
      </c>
      <c r="J223" s="701">
        <v>120</v>
      </c>
      <c r="K223" s="702">
        <v>3063.8000183105469</v>
      </c>
    </row>
    <row r="224" spans="1:11" ht="14.4" customHeight="1" x14ac:dyDescent="0.3">
      <c r="A224" s="696" t="s">
        <v>505</v>
      </c>
      <c r="B224" s="697" t="s">
        <v>506</v>
      </c>
      <c r="C224" s="698" t="s">
        <v>519</v>
      </c>
      <c r="D224" s="699" t="s">
        <v>520</v>
      </c>
      <c r="E224" s="698" t="s">
        <v>2140</v>
      </c>
      <c r="F224" s="699" t="s">
        <v>2141</v>
      </c>
      <c r="G224" s="698" t="s">
        <v>2306</v>
      </c>
      <c r="H224" s="698" t="s">
        <v>2307</v>
      </c>
      <c r="I224" s="701">
        <v>311.67999267578125</v>
      </c>
      <c r="J224" s="701">
        <v>5</v>
      </c>
      <c r="K224" s="702">
        <v>1558.4000244140625</v>
      </c>
    </row>
    <row r="225" spans="1:11" ht="14.4" customHeight="1" x14ac:dyDescent="0.3">
      <c r="A225" s="696" t="s">
        <v>505</v>
      </c>
      <c r="B225" s="697" t="s">
        <v>506</v>
      </c>
      <c r="C225" s="698" t="s">
        <v>519</v>
      </c>
      <c r="D225" s="699" t="s">
        <v>520</v>
      </c>
      <c r="E225" s="698" t="s">
        <v>2140</v>
      </c>
      <c r="F225" s="699" t="s">
        <v>2141</v>
      </c>
      <c r="G225" s="698" t="s">
        <v>2306</v>
      </c>
      <c r="H225" s="698" t="s">
        <v>2308</v>
      </c>
      <c r="I225" s="701">
        <v>311.67999267578125</v>
      </c>
      <c r="J225" s="701">
        <v>3</v>
      </c>
      <c r="K225" s="702">
        <v>935.03997802734375</v>
      </c>
    </row>
    <row r="226" spans="1:11" ht="14.4" customHeight="1" x14ac:dyDescent="0.3">
      <c r="A226" s="696" t="s">
        <v>505</v>
      </c>
      <c r="B226" s="697" t="s">
        <v>506</v>
      </c>
      <c r="C226" s="698" t="s">
        <v>519</v>
      </c>
      <c r="D226" s="699" t="s">
        <v>520</v>
      </c>
      <c r="E226" s="698" t="s">
        <v>2140</v>
      </c>
      <c r="F226" s="699" t="s">
        <v>2141</v>
      </c>
      <c r="G226" s="698" t="s">
        <v>2309</v>
      </c>
      <c r="H226" s="698" t="s">
        <v>2310</v>
      </c>
      <c r="I226" s="701">
        <v>184.58500671386719</v>
      </c>
      <c r="J226" s="701">
        <v>15</v>
      </c>
      <c r="K226" s="702">
        <v>2768.6299438476562</v>
      </c>
    </row>
    <row r="227" spans="1:11" ht="14.4" customHeight="1" x14ac:dyDescent="0.3">
      <c r="A227" s="696" t="s">
        <v>505</v>
      </c>
      <c r="B227" s="697" t="s">
        <v>506</v>
      </c>
      <c r="C227" s="698" t="s">
        <v>519</v>
      </c>
      <c r="D227" s="699" t="s">
        <v>520</v>
      </c>
      <c r="E227" s="698" t="s">
        <v>2140</v>
      </c>
      <c r="F227" s="699" t="s">
        <v>2141</v>
      </c>
      <c r="G227" s="698" t="s">
        <v>2309</v>
      </c>
      <c r="H227" s="698" t="s">
        <v>2311</v>
      </c>
      <c r="I227" s="701">
        <v>184.58000183105469</v>
      </c>
      <c r="J227" s="701">
        <v>6</v>
      </c>
      <c r="K227" s="702">
        <v>1107.47998046875</v>
      </c>
    </row>
    <row r="228" spans="1:11" ht="14.4" customHeight="1" x14ac:dyDescent="0.3">
      <c r="A228" s="696" t="s">
        <v>505</v>
      </c>
      <c r="B228" s="697" t="s">
        <v>506</v>
      </c>
      <c r="C228" s="698" t="s">
        <v>519</v>
      </c>
      <c r="D228" s="699" t="s">
        <v>520</v>
      </c>
      <c r="E228" s="698" t="s">
        <v>2140</v>
      </c>
      <c r="F228" s="699" t="s">
        <v>2141</v>
      </c>
      <c r="G228" s="698" t="s">
        <v>2312</v>
      </c>
      <c r="H228" s="698" t="s">
        <v>2313</v>
      </c>
      <c r="I228" s="701">
        <v>318.60000610351562</v>
      </c>
      <c r="J228" s="701">
        <v>5</v>
      </c>
      <c r="K228" s="702">
        <v>1593</v>
      </c>
    </row>
    <row r="229" spans="1:11" ht="14.4" customHeight="1" x14ac:dyDescent="0.3">
      <c r="A229" s="696" t="s">
        <v>505</v>
      </c>
      <c r="B229" s="697" t="s">
        <v>506</v>
      </c>
      <c r="C229" s="698" t="s">
        <v>519</v>
      </c>
      <c r="D229" s="699" t="s">
        <v>520</v>
      </c>
      <c r="E229" s="698" t="s">
        <v>2140</v>
      </c>
      <c r="F229" s="699" t="s">
        <v>2141</v>
      </c>
      <c r="G229" s="698" t="s">
        <v>2314</v>
      </c>
      <c r="H229" s="698" t="s">
        <v>2315</v>
      </c>
      <c r="I229" s="701">
        <v>459.79998779296875</v>
      </c>
      <c r="J229" s="701">
        <v>5</v>
      </c>
      <c r="K229" s="702">
        <v>2299</v>
      </c>
    </row>
    <row r="230" spans="1:11" ht="14.4" customHeight="1" x14ac:dyDescent="0.3">
      <c r="A230" s="696" t="s">
        <v>505</v>
      </c>
      <c r="B230" s="697" t="s">
        <v>506</v>
      </c>
      <c r="C230" s="698" t="s">
        <v>519</v>
      </c>
      <c r="D230" s="699" t="s">
        <v>520</v>
      </c>
      <c r="E230" s="698" t="s">
        <v>2140</v>
      </c>
      <c r="F230" s="699" t="s">
        <v>2141</v>
      </c>
      <c r="G230" s="698" t="s">
        <v>2316</v>
      </c>
      <c r="H230" s="698" t="s">
        <v>2317</v>
      </c>
      <c r="I230" s="701">
        <v>4.8000001907348633</v>
      </c>
      <c r="J230" s="701">
        <v>300</v>
      </c>
      <c r="K230" s="702">
        <v>1440</v>
      </c>
    </row>
    <row r="231" spans="1:11" ht="14.4" customHeight="1" x14ac:dyDescent="0.3">
      <c r="A231" s="696" t="s">
        <v>505</v>
      </c>
      <c r="B231" s="697" t="s">
        <v>506</v>
      </c>
      <c r="C231" s="698" t="s">
        <v>519</v>
      </c>
      <c r="D231" s="699" t="s">
        <v>520</v>
      </c>
      <c r="E231" s="698" t="s">
        <v>2140</v>
      </c>
      <c r="F231" s="699" t="s">
        <v>2141</v>
      </c>
      <c r="G231" s="698" t="s">
        <v>2318</v>
      </c>
      <c r="H231" s="698" t="s">
        <v>2319</v>
      </c>
      <c r="I231" s="701">
        <v>82.156669616699219</v>
      </c>
      <c r="J231" s="701">
        <v>84</v>
      </c>
      <c r="K231" s="702">
        <v>6901.2298583984375</v>
      </c>
    </row>
    <row r="232" spans="1:11" ht="14.4" customHeight="1" x14ac:dyDescent="0.3">
      <c r="A232" s="696" t="s">
        <v>505</v>
      </c>
      <c r="B232" s="697" t="s">
        <v>506</v>
      </c>
      <c r="C232" s="698" t="s">
        <v>519</v>
      </c>
      <c r="D232" s="699" t="s">
        <v>520</v>
      </c>
      <c r="E232" s="698" t="s">
        <v>2140</v>
      </c>
      <c r="F232" s="699" t="s">
        <v>2141</v>
      </c>
      <c r="G232" s="698" t="s">
        <v>2320</v>
      </c>
      <c r="H232" s="698" t="s">
        <v>2321</v>
      </c>
      <c r="I232" s="701">
        <v>96.319999694824219</v>
      </c>
      <c r="J232" s="701">
        <v>36</v>
      </c>
      <c r="K232" s="702">
        <v>3467.3701171875</v>
      </c>
    </row>
    <row r="233" spans="1:11" ht="14.4" customHeight="1" x14ac:dyDescent="0.3">
      <c r="A233" s="696" t="s">
        <v>505</v>
      </c>
      <c r="B233" s="697" t="s">
        <v>506</v>
      </c>
      <c r="C233" s="698" t="s">
        <v>519</v>
      </c>
      <c r="D233" s="699" t="s">
        <v>520</v>
      </c>
      <c r="E233" s="698" t="s">
        <v>2140</v>
      </c>
      <c r="F233" s="699" t="s">
        <v>2141</v>
      </c>
      <c r="G233" s="698" t="s">
        <v>2322</v>
      </c>
      <c r="H233" s="698" t="s">
        <v>2323</v>
      </c>
      <c r="I233" s="701">
        <v>96.321428571428569</v>
      </c>
      <c r="J233" s="701">
        <v>114</v>
      </c>
      <c r="K233" s="702">
        <v>10980.380004882813</v>
      </c>
    </row>
    <row r="234" spans="1:11" ht="14.4" customHeight="1" x14ac:dyDescent="0.3">
      <c r="A234" s="696" t="s">
        <v>505</v>
      </c>
      <c r="B234" s="697" t="s">
        <v>506</v>
      </c>
      <c r="C234" s="698" t="s">
        <v>519</v>
      </c>
      <c r="D234" s="699" t="s">
        <v>520</v>
      </c>
      <c r="E234" s="698" t="s">
        <v>2140</v>
      </c>
      <c r="F234" s="699" t="s">
        <v>2141</v>
      </c>
      <c r="G234" s="698" t="s">
        <v>2324</v>
      </c>
      <c r="H234" s="698" t="s">
        <v>2325</v>
      </c>
      <c r="I234" s="701">
        <v>179.69250106811523</v>
      </c>
      <c r="J234" s="701">
        <v>8</v>
      </c>
      <c r="K234" s="702">
        <v>1437.5099792480469</v>
      </c>
    </row>
    <row r="235" spans="1:11" ht="14.4" customHeight="1" x14ac:dyDescent="0.3">
      <c r="A235" s="696" t="s">
        <v>505</v>
      </c>
      <c r="B235" s="697" t="s">
        <v>506</v>
      </c>
      <c r="C235" s="698" t="s">
        <v>519</v>
      </c>
      <c r="D235" s="699" t="s">
        <v>520</v>
      </c>
      <c r="E235" s="698" t="s">
        <v>2140</v>
      </c>
      <c r="F235" s="699" t="s">
        <v>2141</v>
      </c>
      <c r="G235" s="698" t="s">
        <v>2326</v>
      </c>
      <c r="H235" s="698" t="s">
        <v>2327</v>
      </c>
      <c r="I235" s="701">
        <v>3533.3314732142858</v>
      </c>
      <c r="J235" s="701">
        <v>12</v>
      </c>
      <c r="K235" s="702">
        <v>42400.000244140625</v>
      </c>
    </row>
    <row r="236" spans="1:11" ht="14.4" customHeight="1" x14ac:dyDescent="0.3">
      <c r="A236" s="696" t="s">
        <v>505</v>
      </c>
      <c r="B236" s="697" t="s">
        <v>506</v>
      </c>
      <c r="C236" s="698" t="s">
        <v>519</v>
      </c>
      <c r="D236" s="699" t="s">
        <v>520</v>
      </c>
      <c r="E236" s="698" t="s">
        <v>2140</v>
      </c>
      <c r="F236" s="699" t="s">
        <v>2141</v>
      </c>
      <c r="G236" s="698" t="s">
        <v>2328</v>
      </c>
      <c r="H236" s="698" t="s">
        <v>2329</v>
      </c>
      <c r="I236" s="701">
        <v>413.57000732421875</v>
      </c>
      <c r="J236" s="701">
        <v>4</v>
      </c>
      <c r="K236" s="702">
        <v>1654.2899780273437</v>
      </c>
    </row>
    <row r="237" spans="1:11" ht="14.4" customHeight="1" x14ac:dyDescent="0.3">
      <c r="A237" s="696" t="s">
        <v>505</v>
      </c>
      <c r="B237" s="697" t="s">
        <v>506</v>
      </c>
      <c r="C237" s="698" t="s">
        <v>519</v>
      </c>
      <c r="D237" s="699" t="s">
        <v>520</v>
      </c>
      <c r="E237" s="698" t="s">
        <v>2140</v>
      </c>
      <c r="F237" s="699" t="s">
        <v>2141</v>
      </c>
      <c r="G237" s="698" t="s">
        <v>2330</v>
      </c>
      <c r="H237" s="698" t="s">
        <v>2331</v>
      </c>
      <c r="I237" s="701">
        <v>399.64999389648437</v>
      </c>
      <c r="J237" s="701">
        <v>8</v>
      </c>
      <c r="K237" s="702">
        <v>3197.199951171875</v>
      </c>
    </row>
    <row r="238" spans="1:11" ht="14.4" customHeight="1" x14ac:dyDescent="0.3">
      <c r="A238" s="696" t="s">
        <v>505</v>
      </c>
      <c r="B238" s="697" t="s">
        <v>506</v>
      </c>
      <c r="C238" s="698" t="s">
        <v>519</v>
      </c>
      <c r="D238" s="699" t="s">
        <v>520</v>
      </c>
      <c r="E238" s="698" t="s">
        <v>2140</v>
      </c>
      <c r="F238" s="699" t="s">
        <v>2141</v>
      </c>
      <c r="G238" s="698" t="s">
        <v>2330</v>
      </c>
      <c r="H238" s="698" t="s">
        <v>2332</v>
      </c>
      <c r="I238" s="701">
        <v>399.6400146484375</v>
      </c>
      <c r="J238" s="701">
        <v>10</v>
      </c>
      <c r="K238" s="702">
        <v>3996.39990234375</v>
      </c>
    </row>
    <row r="239" spans="1:11" ht="14.4" customHeight="1" x14ac:dyDescent="0.3">
      <c r="A239" s="696" t="s">
        <v>505</v>
      </c>
      <c r="B239" s="697" t="s">
        <v>506</v>
      </c>
      <c r="C239" s="698" t="s">
        <v>519</v>
      </c>
      <c r="D239" s="699" t="s">
        <v>520</v>
      </c>
      <c r="E239" s="698" t="s">
        <v>2140</v>
      </c>
      <c r="F239" s="699" t="s">
        <v>2141</v>
      </c>
      <c r="G239" s="698" t="s">
        <v>2333</v>
      </c>
      <c r="H239" s="698" t="s">
        <v>2334</v>
      </c>
      <c r="I239" s="701">
        <v>148.21600036621095</v>
      </c>
      <c r="J239" s="701">
        <v>23</v>
      </c>
      <c r="K239" s="702">
        <v>3408.9400024414063</v>
      </c>
    </row>
    <row r="240" spans="1:11" ht="14.4" customHeight="1" x14ac:dyDescent="0.3">
      <c r="A240" s="696" t="s">
        <v>505</v>
      </c>
      <c r="B240" s="697" t="s">
        <v>506</v>
      </c>
      <c r="C240" s="698" t="s">
        <v>519</v>
      </c>
      <c r="D240" s="699" t="s">
        <v>520</v>
      </c>
      <c r="E240" s="698" t="s">
        <v>2140</v>
      </c>
      <c r="F240" s="699" t="s">
        <v>2141</v>
      </c>
      <c r="G240" s="698" t="s">
        <v>2335</v>
      </c>
      <c r="H240" s="698" t="s">
        <v>2336</v>
      </c>
      <c r="I240" s="701">
        <v>69</v>
      </c>
      <c r="J240" s="701">
        <v>5</v>
      </c>
      <c r="K240" s="702">
        <v>345</v>
      </c>
    </row>
    <row r="241" spans="1:11" ht="14.4" customHeight="1" x14ac:dyDescent="0.3">
      <c r="A241" s="696" t="s">
        <v>505</v>
      </c>
      <c r="B241" s="697" t="s">
        <v>506</v>
      </c>
      <c r="C241" s="698" t="s">
        <v>519</v>
      </c>
      <c r="D241" s="699" t="s">
        <v>520</v>
      </c>
      <c r="E241" s="698" t="s">
        <v>2140</v>
      </c>
      <c r="F241" s="699" t="s">
        <v>2141</v>
      </c>
      <c r="G241" s="698" t="s">
        <v>2337</v>
      </c>
      <c r="H241" s="698" t="s">
        <v>2338</v>
      </c>
      <c r="I241" s="701">
        <v>185.1300048828125</v>
      </c>
      <c r="J241" s="701">
        <v>10</v>
      </c>
      <c r="K241" s="702">
        <v>1851.300048828125</v>
      </c>
    </row>
    <row r="242" spans="1:11" ht="14.4" customHeight="1" x14ac:dyDescent="0.3">
      <c r="A242" s="696" t="s">
        <v>505</v>
      </c>
      <c r="B242" s="697" t="s">
        <v>506</v>
      </c>
      <c r="C242" s="698" t="s">
        <v>519</v>
      </c>
      <c r="D242" s="699" t="s">
        <v>520</v>
      </c>
      <c r="E242" s="698" t="s">
        <v>2140</v>
      </c>
      <c r="F242" s="699" t="s">
        <v>2141</v>
      </c>
      <c r="G242" s="698" t="s">
        <v>2337</v>
      </c>
      <c r="H242" s="698" t="s">
        <v>2339</v>
      </c>
      <c r="I242" s="701">
        <v>185.1300048828125</v>
      </c>
      <c r="J242" s="701">
        <v>5</v>
      </c>
      <c r="K242" s="702">
        <v>925.6500244140625</v>
      </c>
    </row>
    <row r="243" spans="1:11" ht="14.4" customHeight="1" x14ac:dyDescent="0.3">
      <c r="A243" s="696" t="s">
        <v>505</v>
      </c>
      <c r="B243" s="697" t="s">
        <v>506</v>
      </c>
      <c r="C243" s="698" t="s">
        <v>519</v>
      </c>
      <c r="D243" s="699" t="s">
        <v>520</v>
      </c>
      <c r="E243" s="698" t="s">
        <v>2140</v>
      </c>
      <c r="F243" s="699" t="s">
        <v>2141</v>
      </c>
      <c r="G243" s="698" t="s">
        <v>2340</v>
      </c>
      <c r="H243" s="698" t="s">
        <v>2341</v>
      </c>
      <c r="I243" s="701">
        <v>73.819999694824219</v>
      </c>
      <c r="J243" s="701">
        <v>5</v>
      </c>
      <c r="K243" s="702">
        <v>369.10000610351562</v>
      </c>
    </row>
    <row r="244" spans="1:11" ht="14.4" customHeight="1" x14ac:dyDescent="0.3">
      <c r="A244" s="696" t="s">
        <v>505</v>
      </c>
      <c r="B244" s="697" t="s">
        <v>506</v>
      </c>
      <c r="C244" s="698" t="s">
        <v>519</v>
      </c>
      <c r="D244" s="699" t="s">
        <v>520</v>
      </c>
      <c r="E244" s="698" t="s">
        <v>2140</v>
      </c>
      <c r="F244" s="699" t="s">
        <v>2141</v>
      </c>
      <c r="G244" s="698" t="s">
        <v>2342</v>
      </c>
      <c r="H244" s="698" t="s">
        <v>2343</v>
      </c>
      <c r="I244" s="701">
        <v>1.9600000381469727</v>
      </c>
      <c r="J244" s="701">
        <v>200</v>
      </c>
      <c r="K244" s="702">
        <v>392</v>
      </c>
    </row>
    <row r="245" spans="1:11" ht="14.4" customHeight="1" x14ac:dyDescent="0.3">
      <c r="A245" s="696" t="s">
        <v>505</v>
      </c>
      <c r="B245" s="697" t="s">
        <v>506</v>
      </c>
      <c r="C245" s="698" t="s">
        <v>519</v>
      </c>
      <c r="D245" s="699" t="s">
        <v>520</v>
      </c>
      <c r="E245" s="698" t="s">
        <v>2140</v>
      </c>
      <c r="F245" s="699" t="s">
        <v>2141</v>
      </c>
      <c r="G245" s="698" t="s">
        <v>2344</v>
      </c>
      <c r="H245" s="698" t="s">
        <v>2345</v>
      </c>
      <c r="I245" s="701">
        <v>231.99000549316406</v>
      </c>
      <c r="J245" s="701">
        <v>10</v>
      </c>
      <c r="K245" s="702">
        <v>2319.93994140625</v>
      </c>
    </row>
    <row r="246" spans="1:11" ht="14.4" customHeight="1" x14ac:dyDescent="0.3">
      <c r="A246" s="696" t="s">
        <v>505</v>
      </c>
      <c r="B246" s="697" t="s">
        <v>506</v>
      </c>
      <c r="C246" s="698" t="s">
        <v>519</v>
      </c>
      <c r="D246" s="699" t="s">
        <v>520</v>
      </c>
      <c r="E246" s="698" t="s">
        <v>2140</v>
      </c>
      <c r="F246" s="699" t="s">
        <v>2141</v>
      </c>
      <c r="G246" s="698" t="s">
        <v>2346</v>
      </c>
      <c r="H246" s="698" t="s">
        <v>2347</v>
      </c>
      <c r="I246" s="701">
        <v>139.35428946358817</v>
      </c>
      <c r="J246" s="701">
        <v>75</v>
      </c>
      <c r="K246" s="702">
        <v>10451.600341796875</v>
      </c>
    </row>
    <row r="247" spans="1:11" ht="14.4" customHeight="1" x14ac:dyDescent="0.3">
      <c r="A247" s="696" t="s">
        <v>505</v>
      </c>
      <c r="B247" s="697" t="s">
        <v>506</v>
      </c>
      <c r="C247" s="698" t="s">
        <v>519</v>
      </c>
      <c r="D247" s="699" t="s">
        <v>520</v>
      </c>
      <c r="E247" s="698" t="s">
        <v>2140</v>
      </c>
      <c r="F247" s="699" t="s">
        <v>2141</v>
      </c>
      <c r="G247" s="698" t="s">
        <v>2348</v>
      </c>
      <c r="H247" s="698" t="s">
        <v>2349</v>
      </c>
      <c r="I247" s="701">
        <v>153.11000061035156</v>
      </c>
      <c r="J247" s="701">
        <v>105</v>
      </c>
      <c r="K247" s="702">
        <v>16076.899963378906</v>
      </c>
    </row>
    <row r="248" spans="1:11" ht="14.4" customHeight="1" x14ac:dyDescent="0.3">
      <c r="A248" s="696" t="s">
        <v>505</v>
      </c>
      <c r="B248" s="697" t="s">
        <v>506</v>
      </c>
      <c r="C248" s="698" t="s">
        <v>519</v>
      </c>
      <c r="D248" s="699" t="s">
        <v>520</v>
      </c>
      <c r="E248" s="698" t="s">
        <v>2140</v>
      </c>
      <c r="F248" s="699" t="s">
        <v>2141</v>
      </c>
      <c r="G248" s="698" t="s">
        <v>2350</v>
      </c>
      <c r="H248" s="698" t="s">
        <v>2351</v>
      </c>
      <c r="I248" s="701">
        <v>153.11374855041504</v>
      </c>
      <c r="J248" s="701">
        <v>100</v>
      </c>
      <c r="K248" s="702">
        <v>15311.399658203125</v>
      </c>
    </row>
    <row r="249" spans="1:11" ht="14.4" customHeight="1" x14ac:dyDescent="0.3">
      <c r="A249" s="696" t="s">
        <v>505</v>
      </c>
      <c r="B249" s="697" t="s">
        <v>506</v>
      </c>
      <c r="C249" s="698" t="s">
        <v>519</v>
      </c>
      <c r="D249" s="699" t="s">
        <v>520</v>
      </c>
      <c r="E249" s="698" t="s">
        <v>2140</v>
      </c>
      <c r="F249" s="699" t="s">
        <v>2141</v>
      </c>
      <c r="G249" s="698" t="s">
        <v>2352</v>
      </c>
      <c r="H249" s="698" t="s">
        <v>2353</v>
      </c>
      <c r="I249" s="701">
        <v>25.006666819254558</v>
      </c>
      <c r="J249" s="701">
        <v>10</v>
      </c>
      <c r="K249" s="702">
        <v>250.06000328063965</v>
      </c>
    </row>
    <row r="250" spans="1:11" ht="14.4" customHeight="1" x14ac:dyDescent="0.3">
      <c r="A250" s="696" t="s">
        <v>505</v>
      </c>
      <c r="B250" s="697" t="s">
        <v>506</v>
      </c>
      <c r="C250" s="698" t="s">
        <v>519</v>
      </c>
      <c r="D250" s="699" t="s">
        <v>520</v>
      </c>
      <c r="E250" s="698" t="s">
        <v>2140</v>
      </c>
      <c r="F250" s="699" t="s">
        <v>2141</v>
      </c>
      <c r="G250" s="698" t="s">
        <v>2354</v>
      </c>
      <c r="H250" s="698" t="s">
        <v>2355</v>
      </c>
      <c r="I250" s="701">
        <v>9.1999998092651367</v>
      </c>
      <c r="J250" s="701">
        <v>7500</v>
      </c>
      <c r="K250" s="702">
        <v>69000</v>
      </c>
    </row>
    <row r="251" spans="1:11" ht="14.4" customHeight="1" x14ac:dyDescent="0.3">
      <c r="A251" s="696" t="s">
        <v>505</v>
      </c>
      <c r="B251" s="697" t="s">
        <v>506</v>
      </c>
      <c r="C251" s="698" t="s">
        <v>519</v>
      </c>
      <c r="D251" s="699" t="s">
        <v>520</v>
      </c>
      <c r="E251" s="698" t="s">
        <v>2140</v>
      </c>
      <c r="F251" s="699" t="s">
        <v>2141</v>
      </c>
      <c r="G251" s="698" t="s">
        <v>2356</v>
      </c>
      <c r="H251" s="698" t="s">
        <v>2357</v>
      </c>
      <c r="I251" s="701">
        <v>96.800003051757813</v>
      </c>
      <c r="J251" s="701">
        <v>280</v>
      </c>
      <c r="K251" s="702">
        <v>27104</v>
      </c>
    </row>
    <row r="252" spans="1:11" ht="14.4" customHeight="1" x14ac:dyDescent="0.3">
      <c r="A252" s="696" t="s">
        <v>505</v>
      </c>
      <c r="B252" s="697" t="s">
        <v>506</v>
      </c>
      <c r="C252" s="698" t="s">
        <v>519</v>
      </c>
      <c r="D252" s="699" t="s">
        <v>520</v>
      </c>
      <c r="E252" s="698" t="s">
        <v>2140</v>
      </c>
      <c r="F252" s="699" t="s">
        <v>2141</v>
      </c>
      <c r="G252" s="698" t="s">
        <v>2358</v>
      </c>
      <c r="H252" s="698" t="s">
        <v>2359</v>
      </c>
      <c r="I252" s="701">
        <v>58.369998931884766</v>
      </c>
      <c r="J252" s="701">
        <v>825</v>
      </c>
      <c r="K252" s="702">
        <v>48155.609985351563</v>
      </c>
    </row>
    <row r="253" spans="1:11" ht="14.4" customHeight="1" x14ac:dyDescent="0.3">
      <c r="A253" s="696" t="s">
        <v>505</v>
      </c>
      <c r="B253" s="697" t="s">
        <v>506</v>
      </c>
      <c r="C253" s="698" t="s">
        <v>519</v>
      </c>
      <c r="D253" s="699" t="s">
        <v>520</v>
      </c>
      <c r="E253" s="698" t="s">
        <v>2140</v>
      </c>
      <c r="F253" s="699" t="s">
        <v>2141</v>
      </c>
      <c r="G253" s="698" t="s">
        <v>2360</v>
      </c>
      <c r="H253" s="698" t="s">
        <v>2361</v>
      </c>
      <c r="I253" s="701">
        <v>124.62999725341797</v>
      </c>
      <c r="J253" s="701">
        <v>350</v>
      </c>
      <c r="K253" s="702">
        <v>43620.50048828125</v>
      </c>
    </row>
    <row r="254" spans="1:11" ht="14.4" customHeight="1" x14ac:dyDescent="0.3">
      <c r="A254" s="696" t="s">
        <v>505</v>
      </c>
      <c r="B254" s="697" t="s">
        <v>506</v>
      </c>
      <c r="C254" s="698" t="s">
        <v>519</v>
      </c>
      <c r="D254" s="699" t="s">
        <v>520</v>
      </c>
      <c r="E254" s="698" t="s">
        <v>2140</v>
      </c>
      <c r="F254" s="699" t="s">
        <v>2141</v>
      </c>
      <c r="G254" s="698" t="s">
        <v>2362</v>
      </c>
      <c r="H254" s="698" t="s">
        <v>2363</v>
      </c>
      <c r="I254" s="701">
        <v>108.30000305175781</v>
      </c>
      <c r="J254" s="701">
        <v>300</v>
      </c>
      <c r="K254" s="702">
        <v>32488.5</v>
      </c>
    </row>
    <row r="255" spans="1:11" ht="14.4" customHeight="1" x14ac:dyDescent="0.3">
      <c r="A255" s="696" t="s">
        <v>505</v>
      </c>
      <c r="B255" s="697" t="s">
        <v>506</v>
      </c>
      <c r="C255" s="698" t="s">
        <v>519</v>
      </c>
      <c r="D255" s="699" t="s">
        <v>520</v>
      </c>
      <c r="E255" s="698" t="s">
        <v>2140</v>
      </c>
      <c r="F255" s="699" t="s">
        <v>2141</v>
      </c>
      <c r="G255" s="698" t="s">
        <v>2364</v>
      </c>
      <c r="H255" s="698" t="s">
        <v>2365</v>
      </c>
      <c r="I255" s="701">
        <v>107.69000244140625</v>
      </c>
      <c r="J255" s="701">
        <v>720</v>
      </c>
      <c r="K255" s="702">
        <v>77536.7998046875</v>
      </c>
    </row>
    <row r="256" spans="1:11" ht="14.4" customHeight="1" x14ac:dyDescent="0.3">
      <c r="A256" s="696" t="s">
        <v>505</v>
      </c>
      <c r="B256" s="697" t="s">
        <v>506</v>
      </c>
      <c r="C256" s="698" t="s">
        <v>519</v>
      </c>
      <c r="D256" s="699" t="s">
        <v>520</v>
      </c>
      <c r="E256" s="698" t="s">
        <v>2140</v>
      </c>
      <c r="F256" s="699" t="s">
        <v>2141</v>
      </c>
      <c r="G256" s="698" t="s">
        <v>2366</v>
      </c>
      <c r="H256" s="698" t="s">
        <v>2367</v>
      </c>
      <c r="I256" s="701">
        <v>58.080001831054688</v>
      </c>
      <c r="J256" s="701">
        <v>670</v>
      </c>
      <c r="K256" s="702">
        <v>38913.599975585938</v>
      </c>
    </row>
    <row r="257" spans="1:11" ht="14.4" customHeight="1" x14ac:dyDescent="0.3">
      <c r="A257" s="696" t="s">
        <v>505</v>
      </c>
      <c r="B257" s="697" t="s">
        <v>506</v>
      </c>
      <c r="C257" s="698" t="s">
        <v>519</v>
      </c>
      <c r="D257" s="699" t="s">
        <v>520</v>
      </c>
      <c r="E257" s="698" t="s">
        <v>2140</v>
      </c>
      <c r="F257" s="699" t="s">
        <v>2141</v>
      </c>
      <c r="G257" s="698" t="s">
        <v>2368</v>
      </c>
      <c r="H257" s="698" t="s">
        <v>2369</v>
      </c>
      <c r="I257" s="701">
        <v>6.2912499904632568</v>
      </c>
      <c r="J257" s="701">
        <v>72</v>
      </c>
      <c r="K257" s="702">
        <v>453.03000640869141</v>
      </c>
    </row>
    <row r="258" spans="1:11" ht="14.4" customHeight="1" x14ac:dyDescent="0.3">
      <c r="A258" s="696" t="s">
        <v>505</v>
      </c>
      <c r="B258" s="697" t="s">
        <v>506</v>
      </c>
      <c r="C258" s="698" t="s">
        <v>519</v>
      </c>
      <c r="D258" s="699" t="s">
        <v>520</v>
      </c>
      <c r="E258" s="698" t="s">
        <v>2140</v>
      </c>
      <c r="F258" s="699" t="s">
        <v>2141</v>
      </c>
      <c r="G258" s="698" t="s">
        <v>2370</v>
      </c>
      <c r="H258" s="698" t="s">
        <v>2371</v>
      </c>
      <c r="I258" s="701">
        <v>6.2950000762939453</v>
      </c>
      <c r="J258" s="701">
        <v>20</v>
      </c>
      <c r="K258" s="702">
        <v>125.95000076293945</v>
      </c>
    </row>
    <row r="259" spans="1:11" ht="14.4" customHeight="1" x14ac:dyDescent="0.3">
      <c r="A259" s="696" t="s">
        <v>505</v>
      </c>
      <c r="B259" s="697" t="s">
        <v>506</v>
      </c>
      <c r="C259" s="698" t="s">
        <v>519</v>
      </c>
      <c r="D259" s="699" t="s">
        <v>520</v>
      </c>
      <c r="E259" s="698" t="s">
        <v>2140</v>
      </c>
      <c r="F259" s="699" t="s">
        <v>2141</v>
      </c>
      <c r="G259" s="698" t="s">
        <v>2372</v>
      </c>
      <c r="H259" s="698" t="s">
        <v>2373</v>
      </c>
      <c r="I259" s="701">
        <v>47.150001525878906</v>
      </c>
      <c r="J259" s="701">
        <v>150</v>
      </c>
      <c r="K259" s="702">
        <v>7072.5</v>
      </c>
    </row>
    <row r="260" spans="1:11" ht="14.4" customHeight="1" x14ac:dyDescent="0.3">
      <c r="A260" s="696" t="s">
        <v>505</v>
      </c>
      <c r="B260" s="697" t="s">
        <v>506</v>
      </c>
      <c r="C260" s="698" t="s">
        <v>519</v>
      </c>
      <c r="D260" s="699" t="s">
        <v>520</v>
      </c>
      <c r="E260" s="698" t="s">
        <v>2140</v>
      </c>
      <c r="F260" s="699" t="s">
        <v>2141</v>
      </c>
      <c r="G260" s="698" t="s">
        <v>2374</v>
      </c>
      <c r="H260" s="698" t="s">
        <v>2375</v>
      </c>
      <c r="I260" s="701">
        <v>172.5</v>
      </c>
      <c r="J260" s="701">
        <v>6</v>
      </c>
      <c r="K260" s="702">
        <v>1035</v>
      </c>
    </row>
    <row r="261" spans="1:11" ht="14.4" customHeight="1" x14ac:dyDescent="0.3">
      <c r="A261" s="696" t="s">
        <v>505</v>
      </c>
      <c r="B261" s="697" t="s">
        <v>506</v>
      </c>
      <c r="C261" s="698" t="s">
        <v>519</v>
      </c>
      <c r="D261" s="699" t="s">
        <v>520</v>
      </c>
      <c r="E261" s="698" t="s">
        <v>2140</v>
      </c>
      <c r="F261" s="699" t="s">
        <v>2141</v>
      </c>
      <c r="G261" s="698" t="s">
        <v>2376</v>
      </c>
      <c r="H261" s="698" t="s">
        <v>2377</v>
      </c>
      <c r="I261" s="701">
        <v>73.269996643066406</v>
      </c>
      <c r="J261" s="701">
        <v>30</v>
      </c>
      <c r="K261" s="702">
        <v>2198</v>
      </c>
    </row>
    <row r="262" spans="1:11" ht="14.4" customHeight="1" x14ac:dyDescent="0.3">
      <c r="A262" s="696" t="s">
        <v>505</v>
      </c>
      <c r="B262" s="697" t="s">
        <v>506</v>
      </c>
      <c r="C262" s="698" t="s">
        <v>519</v>
      </c>
      <c r="D262" s="699" t="s">
        <v>520</v>
      </c>
      <c r="E262" s="698" t="s">
        <v>2140</v>
      </c>
      <c r="F262" s="699" t="s">
        <v>2141</v>
      </c>
      <c r="G262" s="698" t="s">
        <v>2378</v>
      </c>
      <c r="H262" s="698" t="s">
        <v>2379</v>
      </c>
      <c r="I262" s="701">
        <v>260.14999389648437</v>
      </c>
      <c r="J262" s="701">
        <v>7</v>
      </c>
      <c r="K262" s="702">
        <v>1821.050048828125</v>
      </c>
    </row>
    <row r="263" spans="1:11" ht="14.4" customHeight="1" x14ac:dyDescent="0.3">
      <c r="A263" s="696" t="s">
        <v>505</v>
      </c>
      <c r="B263" s="697" t="s">
        <v>506</v>
      </c>
      <c r="C263" s="698" t="s">
        <v>519</v>
      </c>
      <c r="D263" s="699" t="s">
        <v>520</v>
      </c>
      <c r="E263" s="698" t="s">
        <v>2140</v>
      </c>
      <c r="F263" s="699" t="s">
        <v>2141</v>
      </c>
      <c r="G263" s="698" t="s">
        <v>2380</v>
      </c>
      <c r="H263" s="698" t="s">
        <v>2381</v>
      </c>
      <c r="I263" s="701">
        <v>269.72359497070312</v>
      </c>
      <c r="J263" s="701">
        <v>1200</v>
      </c>
      <c r="K263" s="702">
        <v>323999.39868164062</v>
      </c>
    </row>
    <row r="264" spans="1:11" ht="14.4" customHeight="1" x14ac:dyDescent="0.3">
      <c r="A264" s="696" t="s">
        <v>505</v>
      </c>
      <c r="B264" s="697" t="s">
        <v>506</v>
      </c>
      <c r="C264" s="698" t="s">
        <v>519</v>
      </c>
      <c r="D264" s="699" t="s">
        <v>520</v>
      </c>
      <c r="E264" s="698" t="s">
        <v>2140</v>
      </c>
      <c r="F264" s="699" t="s">
        <v>2141</v>
      </c>
      <c r="G264" s="698" t="s">
        <v>2382</v>
      </c>
      <c r="H264" s="698" t="s">
        <v>2383</v>
      </c>
      <c r="I264" s="701">
        <v>149</v>
      </c>
      <c r="J264" s="701">
        <v>100</v>
      </c>
      <c r="K264" s="702">
        <v>14899.9404296875</v>
      </c>
    </row>
    <row r="265" spans="1:11" ht="14.4" customHeight="1" x14ac:dyDescent="0.3">
      <c r="A265" s="696" t="s">
        <v>505</v>
      </c>
      <c r="B265" s="697" t="s">
        <v>506</v>
      </c>
      <c r="C265" s="698" t="s">
        <v>519</v>
      </c>
      <c r="D265" s="699" t="s">
        <v>520</v>
      </c>
      <c r="E265" s="698" t="s">
        <v>2140</v>
      </c>
      <c r="F265" s="699" t="s">
        <v>2141</v>
      </c>
      <c r="G265" s="698" t="s">
        <v>2384</v>
      </c>
      <c r="H265" s="698" t="s">
        <v>2385</v>
      </c>
      <c r="I265" s="701">
        <v>6.1711111598544655</v>
      </c>
      <c r="J265" s="701">
        <v>3350</v>
      </c>
      <c r="K265" s="702">
        <v>20672.5</v>
      </c>
    </row>
    <row r="266" spans="1:11" ht="14.4" customHeight="1" x14ac:dyDescent="0.3">
      <c r="A266" s="696" t="s">
        <v>505</v>
      </c>
      <c r="B266" s="697" t="s">
        <v>506</v>
      </c>
      <c r="C266" s="698" t="s">
        <v>519</v>
      </c>
      <c r="D266" s="699" t="s">
        <v>520</v>
      </c>
      <c r="E266" s="698" t="s">
        <v>2140</v>
      </c>
      <c r="F266" s="699" t="s">
        <v>2141</v>
      </c>
      <c r="G266" s="698" t="s">
        <v>2384</v>
      </c>
      <c r="H266" s="698" t="s">
        <v>2386</v>
      </c>
      <c r="I266" s="701">
        <v>6.1700000762939453</v>
      </c>
      <c r="J266" s="701">
        <v>500</v>
      </c>
      <c r="K266" s="702">
        <v>3085</v>
      </c>
    </row>
    <row r="267" spans="1:11" ht="14.4" customHeight="1" x14ac:dyDescent="0.3">
      <c r="A267" s="696" t="s">
        <v>505</v>
      </c>
      <c r="B267" s="697" t="s">
        <v>506</v>
      </c>
      <c r="C267" s="698" t="s">
        <v>519</v>
      </c>
      <c r="D267" s="699" t="s">
        <v>520</v>
      </c>
      <c r="E267" s="698" t="s">
        <v>2140</v>
      </c>
      <c r="F267" s="699" t="s">
        <v>2141</v>
      </c>
      <c r="G267" s="698" t="s">
        <v>2387</v>
      </c>
      <c r="H267" s="698" t="s">
        <v>2388</v>
      </c>
      <c r="I267" s="701">
        <v>60.900001525878906</v>
      </c>
      <c r="J267" s="701">
        <v>100</v>
      </c>
      <c r="K267" s="702">
        <v>6090.2900390625</v>
      </c>
    </row>
    <row r="268" spans="1:11" ht="14.4" customHeight="1" x14ac:dyDescent="0.3">
      <c r="A268" s="696" t="s">
        <v>505</v>
      </c>
      <c r="B268" s="697" t="s">
        <v>506</v>
      </c>
      <c r="C268" s="698" t="s">
        <v>519</v>
      </c>
      <c r="D268" s="699" t="s">
        <v>520</v>
      </c>
      <c r="E268" s="698" t="s">
        <v>2140</v>
      </c>
      <c r="F268" s="699" t="s">
        <v>2141</v>
      </c>
      <c r="G268" s="698" t="s">
        <v>2389</v>
      </c>
      <c r="H268" s="698" t="s">
        <v>2390</v>
      </c>
      <c r="I268" s="701">
        <v>82.199996948242188</v>
      </c>
      <c r="J268" s="701">
        <v>50</v>
      </c>
      <c r="K268" s="702">
        <v>4109.929931640625</v>
      </c>
    </row>
    <row r="269" spans="1:11" ht="14.4" customHeight="1" x14ac:dyDescent="0.3">
      <c r="A269" s="696" t="s">
        <v>505</v>
      </c>
      <c r="B269" s="697" t="s">
        <v>506</v>
      </c>
      <c r="C269" s="698" t="s">
        <v>519</v>
      </c>
      <c r="D269" s="699" t="s">
        <v>520</v>
      </c>
      <c r="E269" s="698" t="s">
        <v>2140</v>
      </c>
      <c r="F269" s="699" t="s">
        <v>2141</v>
      </c>
      <c r="G269" s="698" t="s">
        <v>2391</v>
      </c>
      <c r="H269" s="698" t="s">
        <v>2392</v>
      </c>
      <c r="I269" s="701">
        <v>82.199996948242188</v>
      </c>
      <c r="J269" s="701">
        <v>40</v>
      </c>
      <c r="K269" s="702">
        <v>3287.9599609375</v>
      </c>
    </row>
    <row r="270" spans="1:11" ht="14.4" customHeight="1" x14ac:dyDescent="0.3">
      <c r="A270" s="696" t="s">
        <v>505</v>
      </c>
      <c r="B270" s="697" t="s">
        <v>506</v>
      </c>
      <c r="C270" s="698" t="s">
        <v>519</v>
      </c>
      <c r="D270" s="699" t="s">
        <v>520</v>
      </c>
      <c r="E270" s="698" t="s">
        <v>2140</v>
      </c>
      <c r="F270" s="699" t="s">
        <v>2141</v>
      </c>
      <c r="G270" s="698" t="s">
        <v>2393</v>
      </c>
      <c r="H270" s="698" t="s">
        <v>2394</v>
      </c>
      <c r="I270" s="701">
        <v>82.199996948242188</v>
      </c>
      <c r="J270" s="701">
        <v>130</v>
      </c>
      <c r="K270" s="702">
        <v>10685.840087890625</v>
      </c>
    </row>
    <row r="271" spans="1:11" ht="14.4" customHeight="1" x14ac:dyDescent="0.3">
      <c r="A271" s="696" t="s">
        <v>505</v>
      </c>
      <c r="B271" s="697" t="s">
        <v>506</v>
      </c>
      <c r="C271" s="698" t="s">
        <v>519</v>
      </c>
      <c r="D271" s="699" t="s">
        <v>520</v>
      </c>
      <c r="E271" s="698" t="s">
        <v>2140</v>
      </c>
      <c r="F271" s="699" t="s">
        <v>2141</v>
      </c>
      <c r="G271" s="698" t="s">
        <v>2395</v>
      </c>
      <c r="H271" s="698" t="s">
        <v>2396</v>
      </c>
      <c r="I271" s="701">
        <v>156.3699951171875</v>
      </c>
      <c r="J271" s="701">
        <v>30</v>
      </c>
      <c r="K271" s="702">
        <v>4691.22998046875</v>
      </c>
    </row>
    <row r="272" spans="1:11" ht="14.4" customHeight="1" x14ac:dyDescent="0.3">
      <c r="A272" s="696" t="s">
        <v>505</v>
      </c>
      <c r="B272" s="697" t="s">
        <v>506</v>
      </c>
      <c r="C272" s="698" t="s">
        <v>519</v>
      </c>
      <c r="D272" s="699" t="s">
        <v>520</v>
      </c>
      <c r="E272" s="698" t="s">
        <v>2140</v>
      </c>
      <c r="F272" s="699" t="s">
        <v>2141</v>
      </c>
      <c r="G272" s="698" t="s">
        <v>2397</v>
      </c>
      <c r="H272" s="698" t="s">
        <v>2398</v>
      </c>
      <c r="I272" s="701">
        <v>60.900001525878906</v>
      </c>
      <c r="J272" s="701">
        <v>50</v>
      </c>
      <c r="K272" s="702">
        <v>3045.139892578125</v>
      </c>
    </row>
    <row r="273" spans="1:11" ht="14.4" customHeight="1" x14ac:dyDescent="0.3">
      <c r="A273" s="696" t="s">
        <v>505</v>
      </c>
      <c r="B273" s="697" t="s">
        <v>506</v>
      </c>
      <c r="C273" s="698" t="s">
        <v>519</v>
      </c>
      <c r="D273" s="699" t="s">
        <v>520</v>
      </c>
      <c r="E273" s="698" t="s">
        <v>2140</v>
      </c>
      <c r="F273" s="699" t="s">
        <v>2141</v>
      </c>
      <c r="G273" s="698" t="s">
        <v>2399</v>
      </c>
      <c r="H273" s="698" t="s">
        <v>2400</v>
      </c>
      <c r="I273" s="701">
        <v>5082</v>
      </c>
      <c r="J273" s="701">
        <v>35</v>
      </c>
      <c r="K273" s="702">
        <v>177870</v>
      </c>
    </row>
    <row r="274" spans="1:11" ht="14.4" customHeight="1" x14ac:dyDescent="0.3">
      <c r="A274" s="696" t="s">
        <v>505</v>
      </c>
      <c r="B274" s="697" t="s">
        <v>506</v>
      </c>
      <c r="C274" s="698" t="s">
        <v>519</v>
      </c>
      <c r="D274" s="699" t="s">
        <v>520</v>
      </c>
      <c r="E274" s="698" t="s">
        <v>2140</v>
      </c>
      <c r="F274" s="699" t="s">
        <v>2141</v>
      </c>
      <c r="G274" s="698" t="s">
        <v>2399</v>
      </c>
      <c r="H274" s="698" t="s">
        <v>2401</v>
      </c>
      <c r="I274" s="701">
        <v>5082</v>
      </c>
      <c r="J274" s="701">
        <v>33</v>
      </c>
      <c r="K274" s="702">
        <v>167706</v>
      </c>
    </row>
    <row r="275" spans="1:11" ht="14.4" customHeight="1" x14ac:dyDescent="0.3">
      <c r="A275" s="696" t="s">
        <v>505</v>
      </c>
      <c r="B275" s="697" t="s">
        <v>506</v>
      </c>
      <c r="C275" s="698" t="s">
        <v>519</v>
      </c>
      <c r="D275" s="699" t="s">
        <v>520</v>
      </c>
      <c r="E275" s="698" t="s">
        <v>2140</v>
      </c>
      <c r="F275" s="699" t="s">
        <v>2141</v>
      </c>
      <c r="G275" s="698" t="s">
        <v>2402</v>
      </c>
      <c r="H275" s="698" t="s">
        <v>2403</v>
      </c>
      <c r="I275" s="701">
        <v>4660.919921875</v>
      </c>
      <c r="J275" s="701">
        <v>3</v>
      </c>
      <c r="K275" s="702">
        <v>13982.759765625</v>
      </c>
    </row>
    <row r="276" spans="1:11" ht="14.4" customHeight="1" x14ac:dyDescent="0.3">
      <c r="A276" s="696" t="s">
        <v>505</v>
      </c>
      <c r="B276" s="697" t="s">
        <v>506</v>
      </c>
      <c r="C276" s="698" t="s">
        <v>519</v>
      </c>
      <c r="D276" s="699" t="s">
        <v>520</v>
      </c>
      <c r="E276" s="698" t="s">
        <v>2140</v>
      </c>
      <c r="F276" s="699" t="s">
        <v>2141</v>
      </c>
      <c r="G276" s="698" t="s">
        <v>2404</v>
      </c>
      <c r="H276" s="698" t="s">
        <v>2405</v>
      </c>
      <c r="I276" s="701">
        <v>204.40666707356772</v>
      </c>
      <c r="J276" s="701">
        <v>120</v>
      </c>
      <c r="K276" s="702">
        <v>24528.599609375</v>
      </c>
    </row>
    <row r="277" spans="1:11" ht="14.4" customHeight="1" x14ac:dyDescent="0.3">
      <c r="A277" s="696" t="s">
        <v>505</v>
      </c>
      <c r="B277" s="697" t="s">
        <v>506</v>
      </c>
      <c r="C277" s="698" t="s">
        <v>519</v>
      </c>
      <c r="D277" s="699" t="s">
        <v>520</v>
      </c>
      <c r="E277" s="698" t="s">
        <v>2140</v>
      </c>
      <c r="F277" s="699" t="s">
        <v>2141</v>
      </c>
      <c r="G277" s="698" t="s">
        <v>2406</v>
      </c>
      <c r="H277" s="698" t="s">
        <v>2407</v>
      </c>
      <c r="I277" s="701">
        <v>67.160003662109375</v>
      </c>
      <c r="J277" s="701">
        <v>325</v>
      </c>
      <c r="K277" s="702">
        <v>21825.390014648438</v>
      </c>
    </row>
    <row r="278" spans="1:11" ht="14.4" customHeight="1" x14ac:dyDescent="0.3">
      <c r="A278" s="696" t="s">
        <v>505</v>
      </c>
      <c r="B278" s="697" t="s">
        <v>506</v>
      </c>
      <c r="C278" s="698" t="s">
        <v>519</v>
      </c>
      <c r="D278" s="699" t="s">
        <v>520</v>
      </c>
      <c r="E278" s="698" t="s">
        <v>2140</v>
      </c>
      <c r="F278" s="699" t="s">
        <v>2141</v>
      </c>
      <c r="G278" s="698" t="s">
        <v>2408</v>
      </c>
      <c r="H278" s="698" t="s">
        <v>2409</v>
      </c>
      <c r="I278" s="701">
        <v>34.509998321533203</v>
      </c>
      <c r="J278" s="701">
        <v>35</v>
      </c>
      <c r="K278" s="702">
        <v>1207.8500213623047</v>
      </c>
    </row>
    <row r="279" spans="1:11" ht="14.4" customHeight="1" x14ac:dyDescent="0.3">
      <c r="A279" s="696" t="s">
        <v>505</v>
      </c>
      <c r="B279" s="697" t="s">
        <v>506</v>
      </c>
      <c r="C279" s="698" t="s">
        <v>519</v>
      </c>
      <c r="D279" s="699" t="s">
        <v>520</v>
      </c>
      <c r="E279" s="698" t="s">
        <v>2140</v>
      </c>
      <c r="F279" s="699" t="s">
        <v>2141</v>
      </c>
      <c r="G279" s="698" t="s">
        <v>2410</v>
      </c>
      <c r="H279" s="698" t="s">
        <v>2411</v>
      </c>
      <c r="I279" s="701">
        <v>1805.3199462890625</v>
      </c>
      <c r="J279" s="701">
        <v>3</v>
      </c>
      <c r="K279" s="702">
        <v>5415.9598388671875</v>
      </c>
    </row>
    <row r="280" spans="1:11" ht="14.4" customHeight="1" x14ac:dyDescent="0.3">
      <c r="A280" s="696" t="s">
        <v>505</v>
      </c>
      <c r="B280" s="697" t="s">
        <v>506</v>
      </c>
      <c r="C280" s="698" t="s">
        <v>519</v>
      </c>
      <c r="D280" s="699" t="s">
        <v>520</v>
      </c>
      <c r="E280" s="698" t="s">
        <v>2140</v>
      </c>
      <c r="F280" s="699" t="s">
        <v>2141</v>
      </c>
      <c r="G280" s="698" t="s">
        <v>2412</v>
      </c>
      <c r="H280" s="698" t="s">
        <v>2413</v>
      </c>
      <c r="I280" s="701">
        <v>6.6566665967305498</v>
      </c>
      <c r="J280" s="701">
        <v>61</v>
      </c>
      <c r="K280" s="702">
        <v>406.06999206542969</v>
      </c>
    </row>
    <row r="281" spans="1:11" ht="14.4" customHeight="1" x14ac:dyDescent="0.3">
      <c r="A281" s="696" t="s">
        <v>505</v>
      </c>
      <c r="B281" s="697" t="s">
        <v>506</v>
      </c>
      <c r="C281" s="698" t="s">
        <v>519</v>
      </c>
      <c r="D281" s="699" t="s">
        <v>520</v>
      </c>
      <c r="E281" s="698" t="s">
        <v>2140</v>
      </c>
      <c r="F281" s="699" t="s">
        <v>2141</v>
      </c>
      <c r="G281" s="698" t="s">
        <v>2414</v>
      </c>
      <c r="H281" s="698" t="s">
        <v>2415</v>
      </c>
      <c r="I281" s="701">
        <v>6.8399999358437276</v>
      </c>
      <c r="J281" s="701">
        <v>160</v>
      </c>
      <c r="K281" s="702">
        <v>1083.1499977111816</v>
      </c>
    </row>
    <row r="282" spans="1:11" ht="14.4" customHeight="1" x14ac:dyDescent="0.3">
      <c r="A282" s="696" t="s">
        <v>505</v>
      </c>
      <c r="B282" s="697" t="s">
        <v>506</v>
      </c>
      <c r="C282" s="698" t="s">
        <v>519</v>
      </c>
      <c r="D282" s="699" t="s">
        <v>520</v>
      </c>
      <c r="E282" s="698" t="s">
        <v>2140</v>
      </c>
      <c r="F282" s="699" t="s">
        <v>2141</v>
      </c>
      <c r="G282" s="698" t="s">
        <v>2416</v>
      </c>
      <c r="H282" s="698" t="s">
        <v>2417</v>
      </c>
      <c r="I282" s="701">
        <v>6.940000057220459</v>
      </c>
      <c r="J282" s="701">
        <v>30</v>
      </c>
      <c r="K282" s="702">
        <v>208.19999694824219</v>
      </c>
    </row>
    <row r="283" spans="1:11" ht="14.4" customHeight="1" x14ac:dyDescent="0.3">
      <c r="A283" s="696" t="s">
        <v>505</v>
      </c>
      <c r="B283" s="697" t="s">
        <v>506</v>
      </c>
      <c r="C283" s="698" t="s">
        <v>519</v>
      </c>
      <c r="D283" s="699" t="s">
        <v>520</v>
      </c>
      <c r="E283" s="698" t="s">
        <v>2140</v>
      </c>
      <c r="F283" s="699" t="s">
        <v>2141</v>
      </c>
      <c r="G283" s="698" t="s">
        <v>2418</v>
      </c>
      <c r="H283" s="698" t="s">
        <v>2419</v>
      </c>
      <c r="I283" s="701">
        <v>3872</v>
      </c>
      <c r="J283" s="701">
        <v>1</v>
      </c>
      <c r="K283" s="702">
        <v>3872</v>
      </c>
    </row>
    <row r="284" spans="1:11" ht="14.4" customHeight="1" x14ac:dyDescent="0.3">
      <c r="A284" s="696" t="s">
        <v>505</v>
      </c>
      <c r="B284" s="697" t="s">
        <v>506</v>
      </c>
      <c r="C284" s="698" t="s">
        <v>519</v>
      </c>
      <c r="D284" s="699" t="s">
        <v>520</v>
      </c>
      <c r="E284" s="698" t="s">
        <v>2140</v>
      </c>
      <c r="F284" s="699" t="s">
        <v>2141</v>
      </c>
      <c r="G284" s="698" t="s">
        <v>2420</v>
      </c>
      <c r="H284" s="698" t="s">
        <v>2421</v>
      </c>
      <c r="I284" s="701">
        <v>123.18000030517578</v>
      </c>
      <c r="J284" s="701">
        <v>400</v>
      </c>
      <c r="K284" s="702">
        <v>49271.29931640625</v>
      </c>
    </row>
    <row r="285" spans="1:11" ht="14.4" customHeight="1" x14ac:dyDescent="0.3">
      <c r="A285" s="696" t="s">
        <v>505</v>
      </c>
      <c r="B285" s="697" t="s">
        <v>506</v>
      </c>
      <c r="C285" s="698" t="s">
        <v>519</v>
      </c>
      <c r="D285" s="699" t="s">
        <v>520</v>
      </c>
      <c r="E285" s="698" t="s">
        <v>2140</v>
      </c>
      <c r="F285" s="699" t="s">
        <v>2141</v>
      </c>
      <c r="G285" s="698" t="s">
        <v>2422</v>
      </c>
      <c r="H285" s="698" t="s">
        <v>2423</v>
      </c>
      <c r="I285" s="701">
        <v>16.452857426234655</v>
      </c>
      <c r="J285" s="701">
        <v>320</v>
      </c>
      <c r="K285" s="702">
        <v>5264.7000122070312</v>
      </c>
    </row>
    <row r="286" spans="1:11" ht="14.4" customHeight="1" x14ac:dyDescent="0.3">
      <c r="A286" s="696" t="s">
        <v>505</v>
      </c>
      <c r="B286" s="697" t="s">
        <v>506</v>
      </c>
      <c r="C286" s="698" t="s">
        <v>519</v>
      </c>
      <c r="D286" s="699" t="s">
        <v>520</v>
      </c>
      <c r="E286" s="698" t="s">
        <v>2140</v>
      </c>
      <c r="F286" s="699" t="s">
        <v>2141</v>
      </c>
      <c r="G286" s="698" t="s">
        <v>2418</v>
      </c>
      <c r="H286" s="698" t="s">
        <v>2424</v>
      </c>
      <c r="I286" s="701">
        <v>3872</v>
      </c>
      <c r="J286" s="701">
        <v>3</v>
      </c>
      <c r="K286" s="702">
        <v>11616</v>
      </c>
    </row>
    <row r="287" spans="1:11" ht="14.4" customHeight="1" x14ac:dyDescent="0.3">
      <c r="A287" s="696" t="s">
        <v>505</v>
      </c>
      <c r="B287" s="697" t="s">
        <v>506</v>
      </c>
      <c r="C287" s="698" t="s">
        <v>519</v>
      </c>
      <c r="D287" s="699" t="s">
        <v>520</v>
      </c>
      <c r="E287" s="698" t="s">
        <v>2140</v>
      </c>
      <c r="F287" s="699" t="s">
        <v>2141</v>
      </c>
      <c r="G287" s="698" t="s">
        <v>2425</v>
      </c>
      <c r="H287" s="698" t="s">
        <v>2426</v>
      </c>
      <c r="I287" s="701">
        <v>9.1999998092651367</v>
      </c>
      <c r="J287" s="701">
        <v>66</v>
      </c>
      <c r="K287" s="702">
        <v>607.20001220703125</v>
      </c>
    </row>
    <row r="288" spans="1:11" ht="14.4" customHeight="1" x14ac:dyDescent="0.3">
      <c r="A288" s="696" t="s">
        <v>505</v>
      </c>
      <c r="B288" s="697" t="s">
        <v>506</v>
      </c>
      <c r="C288" s="698" t="s">
        <v>519</v>
      </c>
      <c r="D288" s="699" t="s">
        <v>520</v>
      </c>
      <c r="E288" s="698" t="s">
        <v>2140</v>
      </c>
      <c r="F288" s="699" t="s">
        <v>2141</v>
      </c>
      <c r="G288" s="698" t="s">
        <v>2427</v>
      </c>
      <c r="H288" s="698" t="s">
        <v>2428</v>
      </c>
      <c r="I288" s="701">
        <v>23.350000381469727</v>
      </c>
      <c r="J288" s="701">
        <v>180</v>
      </c>
      <c r="K288" s="702">
        <v>4203.5399780273437</v>
      </c>
    </row>
    <row r="289" spans="1:11" ht="14.4" customHeight="1" x14ac:dyDescent="0.3">
      <c r="A289" s="696" t="s">
        <v>505</v>
      </c>
      <c r="B289" s="697" t="s">
        <v>506</v>
      </c>
      <c r="C289" s="698" t="s">
        <v>519</v>
      </c>
      <c r="D289" s="699" t="s">
        <v>520</v>
      </c>
      <c r="E289" s="698" t="s">
        <v>2140</v>
      </c>
      <c r="F289" s="699" t="s">
        <v>2141</v>
      </c>
      <c r="G289" s="698" t="s">
        <v>2429</v>
      </c>
      <c r="H289" s="698" t="s">
        <v>2430</v>
      </c>
      <c r="I289" s="701">
        <v>5.8400001525878906</v>
      </c>
      <c r="J289" s="701">
        <v>20</v>
      </c>
      <c r="K289" s="702">
        <v>116.76999664306641</v>
      </c>
    </row>
    <row r="290" spans="1:11" ht="14.4" customHeight="1" x14ac:dyDescent="0.3">
      <c r="A290" s="696" t="s">
        <v>505</v>
      </c>
      <c r="B290" s="697" t="s">
        <v>506</v>
      </c>
      <c r="C290" s="698" t="s">
        <v>519</v>
      </c>
      <c r="D290" s="699" t="s">
        <v>520</v>
      </c>
      <c r="E290" s="698" t="s">
        <v>2140</v>
      </c>
      <c r="F290" s="699" t="s">
        <v>2141</v>
      </c>
      <c r="G290" s="698" t="s">
        <v>2431</v>
      </c>
      <c r="H290" s="698" t="s">
        <v>2432</v>
      </c>
      <c r="I290" s="701">
        <v>12.100000381469727</v>
      </c>
      <c r="J290" s="701">
        <v>30</v>
      </c>
      <c r="K290" s="702">
        <v>363</v>
      </c>
    </row>
    <row r="291" spans="1:11" ht="14.4" customHeight="1" x14ac:dyDescent="0.3">
      <c r="A291" s="696" t="s">
        <v>505</v>
      </c>
      <c r="B291" s="697" t="s">
        <v>506</v>
      </c>
      <c r="C291" s="698" t="s">
        <v>519</v>
      </c>
      <c r="D291" s="699" t="s">
        <v>520</v>
      </c>
      <c r="E291" s="698" t="s">
        <v>2140</v>
      </c>
      <c r="F291" s="699" t="s">
        <v>2141</v>
      </c>
      <c r="G291" s="698" t="s">
        <v>2433</v>
      </c>
      <c r="H291" s="698" t="s">
        <v>2434</v>
      </c>
      <c r="I291" s="701">
        <v>9.6800003051757812</v>
      </c>
      <c r="J291" s="701">
        <v>10</v>
      </c>
      <c r="K291" s="702">
        <v>96.800003051757813</v>
      </c>
    </row>
    <row r="292" spans="1:11" ht="14.4" customHeight="1" x14ac:dyDescent="0.3">
      <c r="A292" s="696" t="s">
        <v>505</v>
      </c>
      <c r="B292" s="697" t="s">
        <v>506</v>
      </c>
      <c r="C292" s="698" t="s">
        <v>519</v>
      </c>
      <c r="D292" s="699" t="s">
        <v>520</v>
      </c>
      <c r="E292" s="698" t="s">
        <v>2140</v>
      </c>
      <c r="F292" s="699" t="s">
        <v>2141</v>
      </c>
      <c r="G292" s="698" t="s">
        <v>2435</v>
      </c>
      <c r="H292" s="698" t="s">
        <v>2436</v>
      </c>
      <c r="I292" s="701">
        <v>197.57000732421875</v>
      </c>
      <c r="J292" s="701">
        <v>171</v>
      </c>
      <c r="K292" s="702">
        <v>33784.47119140625</v>
      </c>
    </row>
    <row r="293" spans="1:11" ht="14.4" customHeight="1" x14ac:dyDescent="0.3">
      <c r="A293" s="696" t="s">
        <v>505</v>
      </c>
      <c r="B293" s="697" t="s">
        <v>506</v>
      </c>
      <c r="C293" s="698" t="s">
        <v>519</v>
      </c>
      <c r="D293" s="699" t="s">
        <v>520</v>
      </c>
      <c r="E293" s="698" t="s">
        <v>2140</v>
      </c>
      <c r="F293" s="699" t="s">
        <v>2141</v>
      </c>
      <c r="G293" s="698" t="s">
        <v>2437</v>
      </c>
      <c r="H293" s="698" t="s">
        <v>2438</v>
      </c>
      <c r="I293" s="701">
        <v>1.0891304689904917</v>
      </c>
      <c r="J293" s="701">
        <v>41600</v>
      </c>
      <c r="K293" s="702">
        <v>45314</v>
      </c>
    </row>
    <row r="294" spans="1:11" ht="14.4" customHeight="1" x14ac:dyDescent="0.3">
      <c r="A294" s="696" t="s">
        <v>505</v>
      </c>
      <c r="B294" s="697" t="s">
        <v>506</v>
      </c>
      <c r="C294" s="698" t="s">
        <v>519</v>
      </c>
      <c r="D294" s="699" t="s">
        <v>520</v>
      </c>
      <c r="E294" s="698" t="s">
        <v>2140</v>
      </c>
      <c r="F294" s="699" t="s">
        <v>2141</v>
      </c>
      <c r="G294" s="698" t="s">
        <v>2439</v>
      </c>
      <c r="H294" s="698" t="s">
        <v>2440</v>
      </c>
      <c r="I294" s="701">
        <v>0.47529411140610189</v>
      </c>
      <c r="J294" s="701">
        <v>22400</v>
      </c>
      <c r="K294" s="702">
        <v>10630</v>
      </c>
    </row>
    <row r="295" spans="1:11" ht="14.4" customHeight="1" x14ac:dyDescent="0.3">
      <c r="A295" s="696" t="s">
        <v>505</v>
      </c>
      <c r="B295" s="697" t="s">
        <v>506</v>
      </c>
      <c r="C295" s="698" t="s">
        <v>519</v>
      </c>
      <c r="D295" s="699" t="s">
        <v>520</v>
      </c>
      <c r="E295" s="698" t="s">
        <v>2140</v>
      </c>
      <c r="F295" s="699" t="s">
        <v>2141</v>
      </c>
      <c r="G295" s="698" t="s">
        <v>2441</v>
      </c>
      <c r="H295" s="698" t="s">
        <v>2442</v>
      </c>
      <c r="I295" s="701">
        <v>1.6743749529123306</v>
      </c>
      <c r="J295" s="701">
        <v>33500</v>
      </c>
      <c r="K295" s="702">
        <v>56119</v>
      </c>
    </row>
    <row r="296" spans="1:11" ht="14.4" customHeight="1" x14ac:dyDescent="0.3">
      <c r="A296" s="696" t="s">
        <v>505</v>
      </c>
      <c r="B296" s="697" t="s">
        <v>506</v>
      </c>
      <c r="C296" s="698" t="s">
        <v>519</v>
      </c>
      <c r="D296" s="699" t="s">
        <v>520</v>
      </c>
      <c r="E296" s="698" t="s">
        <v>2140</v>
      </c>
      <c r="F296" s="699" t="s">
        <v>2141</v>
      </c>
      <c r="G296" s="698" t="s">
        <v>2443</v>
      </c>
      <c r="H296" s="698" t="s">
        <v>2444</v>
      </c>
      <c r="I296" s="701">
        <v>0.67000001668930054</v>
      </c>
      <c r="J296" s="701">
        <v>11700</v>
      </c>
      <c r="K296" s="702">
        <v>7839</v>
      </c>
    </row>
    <row r="297" spans="1:11" ht="14.4" customHeight="1" x14ac:dyDescent="0.3">
      <c r="A297" s="696" t="s">
        <v>505</v>
      </c>
      <c r="B297" s="697" t="s">
        <v>506</v>
      </c>
      <c r="C297" s="698" t="s">
        <v>519</v>
      </c>
      <c r="D297" s="699" t="s">
        <v>520</v>
      </c>
      <c r="E297" s="698" t="s">
        <v>2140</v>
      </c>
      <c r="F297" s="699" t="s">
        <v>2141</v>
      </c>
      <c r="G297" s="698" t="s">
        <v>2445</v>
      </c>
      <c r="H297" s="698" t="s">
        <v>2446</v>
      </c>
      <c r="I297" s="701">
        <v>1.5</v>
      </c>
      <c r="J297" s="701">
        <v>4000</v>
      </c>
      <c r="K297" s="702">
        <v>6000</v>
      </c>
    </row>
    <row r="298" spans="1:11" ht="14.4" customHeight="1" x14ac:dyDescent="0.3">
      <c r="A298" s="696" t="s">
        <v>505</v>
      </c>
      <c r="B298" s="697" t="s">
        <v>506</v>
      </c>
      <c r="C298" s="698" t="s">
        <v>519</v>
      </c>
      <c r="D298" s="699" t="s">
        <v>520</v>
      </c>
      <c r="E298" s="698" t="s">
        <v>2140</v>
      </c>
      <c r="F298" s="699" t="s">
        <v>2141</v>
      </c>
      <c r="G298" s="698" t="s">
        <v>2447</v>
      </c>
      <c r="H298" s="698" t="s">
        <v>2448</v>
      </c>
      <c r="I298" s="701">
        <v>5.2033332056469384</v>
      </c>
      <c r="J298" s="701">
        <v>18590</v>
      </c>
      <c r="K298" s="702">
        <v>96714.010040283203</v>
      </c>
    </row>
    <row r="299" spans="1:11" ht="14.4" customHeight="1" x14ac:dyDescent="0.3">
      <c r="A299" s="696" t="s">
        <v>505</v>
      </c>
      <c r="B299" s="697" t="s">
        <v>506</v>
      </c>
      <c r="C299" s="698" t="s">
        <v>519</v>
      </c>
      <c r="D299" s="699" t="s">
        <v>520</v>
      </c>
      <c r="E299" s="698" t="s">
        <v>2140</v>
      </c>
      <c r="F299" s="699" t="s">
        <v>2141</v>
      </c>
      <c r="G299" s="698" t="s">
        <v>2449</v>
      </c>
      <c r="H299" s="698" t="s">
        <v>2450</v>
      </c>
      <c r="I299" s="701">
        <v>7.429999828338623</v>
      </c>
      <c r="J299" s="701">
        <v>100</v>
      </c>
      <c r="K299" s="702">
        <v>743</v>
      </c>
    </row>
    <row r="300" spans="1:11" ht="14.4" customHeight="1" x14ac:dyDescent="0.3">
      <c r="A300" s="696" t="s">
        <v>505</v>
      </c>
      <c r="B300" s="697" t="s">
        <v>506</v>
      </c>
      <c r="C300" s="698" t="s">
        <v>519</v>
      </c>
      <c r="D300" s="699" t="s">
        <v>520</v>
      </c>
      <c r="E300" s="698" t="s">
        <v>2140</v>
      </c>
      <c r="F300" s="699" t="s">
        <v>2141</v>
      </c>
      <c r="G300" s="698" t="s">
        <v>2451</v>
      </c>
      <c r="H300" s="698" t="s">
        <v>2452</v>
      </c>
      <c r="I300" s="701">
        <v>8.8350000381469727</v>
      </c>
      <c r="J300" s="701">
        <v>3600</v>
      </c>
      <c r="K300" s="702">
        <v>31804</v>
      </c>
    </row>
    <row r="301" spans="1:11" ht="14.4" customHeight="1" x14ac:dyDescent="0.3">
      <c r="A301" s="696" t="s">
        <v>505</v>
      </c>
      <c r="B301" s="697" t="s">
        <v>506</v>
      </c>
      <c r="C301" s="698" t="s">
        <v>519</v>
      </c>
      <c r="D301" s="699" t="s">
        <v>520</v>
      </c>
      <c r="E301" s="698" t="s">
        <v>2140</v>
      </c>
      <c r="F301" s="699" t="s">
        <v>2141</v>
      </c>
      <c r="G301" s="698" t="s">
        <v>2453</v>
      </c>
      <c r="H301" s="698" t="s">
        <v>2454</v>
      </c>
      <c r="I301" s="701">
        <v>17.059999465942383</v>
      </c>
      <c r="J301" s="701">
        <v>100</v>
      </c>
      <c r="K301" s="702">
        <v>1706.0999755859375</v>
      </c>
    </row>
    <row r="302" spans="1:11" ht="14.4" customHeight="1" x14ac:dyDescent="0.3">
      <c r="A302" s="696" t="s">
        <v>505</v>
      </c>
      <c r="B302" s="697" t="s">
        <v>506</v>
      </c>
      <c r="C302" s="698" t="s">
        <v>519</v>
      </c>
      <c r="D302" s="699" t="s">
        <v>520</v>
      </c>
      <c r="E302" s="698" t="s">
        <v>2140</v>
      </c>
      <c r="F302" s="699" t="s">
        <v>2141</v>
      </c>
      <c r="G302" s="698" t="s">
        <v>2455</v>
      </c>
      <c r="H302" s="698" t="s">
        <v>2456</v>
      </c>
      <c r="I302" s="701">
        <v>30.129999160766602</v>
      </c>
      <c r="J302" s="701">
        <v>200</v>
      </c>
      <c r="K302" s="702">
        <v>6025.7998046875</v>
      </c>
    </row>
    <row r="303" spans="1:11" ht="14.4" customHeight="1" x14ac:dyDescent="0.3">
      <c r="A303" s="696" t="s">
        <v>505</v>
      </c>
      <c r="B303" s="697" t="s">
        <v>506</v>
      </c>
      <c r="C303" s="698" t="s">
        <v>519</v>
      </c>
      <c r="D303" s="699" t="s">
        <v>520</v>
      </c>
      <c r="E303" s="698" t="s">
        <v>2140</v>
      </c>
      <c r="F303" s="699" t="s">
        <v>2141</v>
      </c>
      <c r="G303" s="698" t="s">
        <v>2457</v>
      </c>
      <c r="H303" s="698" t="s">
        <v>2458</v>
      </c>
      <c r="I303" s="701">
        <v>1.5533332824707031</v>
      </c>
      <c r="J303" s="701">
        <v>600</v>
      </c>
      <c r="K303" s="702">
        <v>932</v>
      </c>
    </row>
    <row r="304" spans="1:11" ht="14.4" customHeight="1" x14ac:dyDescent="0.3">
      <c r="A304" s="696" t="s">
        <v>505</v>
      </c>
      <c r="B304" s="697" t="s">
        <v>506</v>
      </c>
      <c r="C304" s="698" t="s">
        <v>519</v>
      </c>
      <c r="D304" s="699" t="s">
        <v>520</v>
      </c>
      <c r="E304" s="698" t="s">
        <v>2140</v>
      </c>
      <c r="F304" s="699" t="s">
        <v>2141</v>
      </c>
      <c r="G304" s="698" t="s">
        <v>2459</v>
      </c>
      <c r="H304" s="698" t="s">
        <v>2460</v>
      </c>
      <c r="I304" s="701">
        <v>1.5499999523162842</v>
      </c>
      <c r="J304" s="701">
        <v>500</v>
      </c>
      <c r="K304" s="702">
        <v>775.30000305175781</v>
      </c>
    </row>
    <row r="305" spans="1:11" ht="14.4" customHeight="1" x14ac:dyDescent="0.3">
      <c r="A305" s="696" t="s">
        <v>505</v>
      </c>
      <c r="B305" s="697" t="s">
        <v>506</v>
      </c>
      <c r="C305" s="698" t="s">
        <v>519</v>
      </c>
      <c r="D305" s="699" t="s">
        <v>520</v>
      </c>
      <c r="E305" s="698" t="s">
        <v>2140</v>
      </c>
      <c r="F305" s="699" t="s">
        <v>2141</v>
      </c>
      <c r="G305" s="698" t="s">
        <v>2461</v>
      </c>
      <c r="H305" s="698" t="s">
        <v>2462</v>
      </c>
      <c r="I305" s="701">
        <v>2.1737500727176666</v>
      </c>
      <c r="J305" s="701">
        <v>1950</v>
      </c>
      <c r="K305" s="702">
        <v>4240.5</v>
      </c>
    </row>
    <row r="306" spans="1:11" ht="14.4" customHeight="1" x14ac:dyDescent="0.3">
      <c r="A306" s="696" t="s">
        <v>505</v>
      </c>
      <c r="B306" s="697" t="s">
        <v>506</v>
      </c>
      <c r="C306" s="698" t="s">
        <v>519</v>
      </c>
      <c r="D306" s="699" t="s">
        <v>520</v>
      </c>
      <c r="E306" s="698" t="s">
        <v>2140</v>
      </c>
      <c r="F306" s="699" t="s">
        <v>2141</v>
      </c>
      <c r="G306" s="698" t="s">
        <v>2461</v>
      </c>
      <c r="H306" s="698" t="s">
        <v>2463</v>
      </c>
      <c r="I306" s="701">
        <v>2.1800000667572021</v>
      </c>
      <c r="J306" s="701">
        <v>200</v>
      </c>
      <c r="K306" s="702">
        <v>435.94000244140625</v>
      </c>
    </row>
    <row r="307" spans="1:11" ht="14.4" customHeight="1" x14ac:dyDescent="0.3">
      <c r="A307" s="696" t="s">
        <v>505</v>
      </c>
      <c r="B307" s="697" t="s">
        <v>506</v>
      </c>
      <c r="C307" s="698" t="s">
        <v>519</v>
      </c>
      <c r="D307" s="699" t="s">
        <v>520</v>
      </c>
      <c r="E307" s="698" t="s">
        <v>2140</v>
      </c>
      <c r="F307" s="699" t="s">
        <v>2141</v>
      </c>
      <c r="G307" s="698" t="s">
        <v>2464</v>
      </c>
      <c r="H307" s="698" t="s">
        <v>2465</v>
      </c>
      <c r="I307" s="701">
        <v>6.2373076585622931</v>
      </c>
      <c r="J307" s="701">
        <v>2187</v>
      </c>
      <c r="K307" s="702">
        <v>13629.239964485168</v>
      </c>
    </row>
    <row r="308" spans="1:11" ht="14.4" customHeight="1" x14ac:dyDescent="0.3">
      <c r="A308" s="696" t="s">
        <v>505</v>
      </c>
      <c r="B308" s="697" t="s">
        <v>506</v>
      </c>
      <c r="C308" s="698" t="s">
        <v>519</v>
      </c>
      <c r="D308" s="699" t="s">
        <v>520</v>
      </c>
      <c r="E308" s="698" t="s">
        <v>2140</v>
      </c>
      <c r="F308" s="699" t="s">
        <v>2141</v>
      </c>
      <c r="G308" s="698" t="s">
        <v>2466</v>
      </c>
      <c r="H308" s="698" t="s">
        <v>2467</v>
      </c>
      <c r="I308" s="701">
        <v>1816.5149536132812</v>
      </c>
      <c r="J308" s="701">
        <v>22</v>
      </c>
      <c r="K308" s="702">
        <v>36684.189453125</v>
      </c>
    </row>
    <row r="309" spans="1:11" ht="14.4" customHeight="1" x14ac:dyDescent="0.3">
      <c r="A309" s="696" t="s">
        <v>505</v>
      </c>
      <c r="B309" s="697" t="s">
        <v>506</v>
      </c>
      <c r="C309" s="698" t="s">
        <v>519</v>
      </c>
      <c r="D309" s="699" t="s">
        <v>520</v>
      </c>
      <c r="E309" s="698" t="s">
        <v>2140</v>
      </c>
      <c r="F309" s="699" t="s">
        <v>2141</v>
      </c>
      <c r="G309" s="698" t="s">
        <v>2468</v>
      </c>
      <c r="H309" s="698" t="s">
        <v>2469</v>
      </c>
      <c r="I309" s="701">
        <v>1647.2900390625</v>
      </c>
      <c r="J309" s="701">
        <v>15</v>
      </c>
      <c r="K309" s="702">
        <v>24709.4091796875</v>
      </c>
    </row>
    <row r="310" spans="1:11" ht="14.4" customHeight="1" x14ac:dyDescent="0.3">
      <c r="A310" s="696" t="s">
        <v>505</v>
      </c>
      <c r="B310" s="697" t="s">
        <v>506</v>
      </c>
      <c r="C310" s="698" t="s">
        <v>519</v>
      </c>
      <c r="D310" s="699" t="s">
        <v>520</v>
      </c>
      <c r="E310" s="698" t="s">
        <v>2140</v>
      </c>
      <c r="F310" s="699" t="s">
        <v>2141</v>
      </c>
      <c r="G310" s="698" t="s">
        <v>2470</v>
      </c>
      <c r="H310" s="698" t="s">
        <v>2471</v>
      </c>
      <c r="I310" s="701">
        <v>229.89999389648437</v>
      </c>
      <c r="J310" s="701">
        <v>520</v>
      </c>
      <c r="K310" s="702">
        <v>119548.080078125</v>
      </c>
    </row>
    <row r="311" spans="1:11" ht="14.4" customHeight="1" x14ac:dyDescent="0.3">
      <c r="A311" s="696" t="s">
        <v>505</v>
      </c>
      <c r="B311" s="697" t="s">
        <v>506</v>
      </c>
      <c r="C311" s="698" t="s">
        <v>519</v>
      </c>
      <c r="D311" s="699" t="s">
        <v>520</v>
      </c>
      <c r="E311" s="698" t="s">
        <v>2140</v>
      </c>
      <c r="F311" s="699" t="s">
        <v>2141</v>
      </c>
      <c r="G311" s="698" t="s">
        <v>2472</v>
      </c>
      <c r="H311" s="698" t="s">
        <v>2473</v>
      </c>
      <c r="I311" s="701">
        <v>205.69999694824219</v>
      </c>
      <c r="J311" s="701">
        <v>130</v>
      </c>
      <c r="K311" s="702">
        <v>26741</v>
      </c>
    </row>
    <row r="312" spans="1:11" ht="14.4" customHeight="1" x14ac:dyDescent="0.3">
      <c r="A312" s="696" t="s">
        <v>505</v>
      </c>
      <c r="B312" s="697" t="s">
        <v>506</v>
      </c>
      <c r="C312" s="698" t="s">
        <v>519</v>
      </c>
      <c r="D312" s="699" t="s">
        <v>520</v>
      </c>
      <c r="E312" s="698" t="s">
        <v>2140</v>
      </c>
      <c r="F312" s="699" t="s">
        <v>2141</v>
      </c>
      <c r="G312" s="698" t="s">
        <v>2474</v>
      </c>
      <c r="H312" s="698" t="s">
        <v>2475</v>
      </c>
      <c r="I312" s="701">
        <v>35.090000152587891</v>
      </c>
      <c r="J312" s="701">
        <v>13</v>
      </c>
      <c r="K312" s="702">
        <v>456.16999053955078</v>
      </c>
    </row>
    <row r="313" spans="1:11" ht="14.4" customHeight="1" x14ac:dyDescent="0.3">
      <c r="A313" s="696" t="s">
        <v>505</v>
      </c>
      <c r="B313" s="697" t="s">
        <v>506</v>
      </c>
      <c r="C313" s="698" t="s">
        <v>519</v>
      </c>
      <c r="D313" s="699" t="s">
        <v>520</v>
      </c>
      <c r="E313" s="698" t="s">
        <v>2140</v>
      </c>
      <c r="F313" s="699" t="s">
        <v>2141</v>
      </c>
      <c r="G313" s="698" t="s">
        <v>2476</v>
      </c>
      <c r="H313" s="698" t="s">
        <v>2477</v>
      </c>
      <c r="I313" s="701">
        <v>471.89999389648437</v>
      </c>
      <c r="J313" s="701">
        <v>1</v>
      </c>
      <c r="K313" s="702">
        <v>471.89999389648437</v>
      </c>
    </row>
    <row r="314" spans="1:11" ht="14.4" customHeight="1" x14ac:dyDescent="0.3">
      <c r="A314" s="696" t="s">
        <v>505</v>
      </c>
      <c r="B314" s="697" t="s">
        <v>506</v>
      </c>
      <c r="C314" s="698" t="s">
        <v>519</v>
      </c>
      <c r="D314" s="699" t="s">
        <v>520</v>
      </c>
      <c r="E314" s="698" t="s">
        <v>2140</v>
      </c>
      <c r="F314" s="699" t="s">
        <v>2141</v>
      </c>
      <c r="G314" s="698" t="s">
        <v>2478</v>
      </c>
      <c r="H314" s="698" t="s">
        <v>2479</v>
      </c>
      <c r="I314" s="701">
        <v>168.19000244140625</v>
      </c>
      <c r="J314" s="701">
        <v>10</v>
      </c>
      <c r="K314" s="702">
        <v>1681.9000244140625</v>
      </c>
    </row>
    <row r="315" spans="1:11" ht="14.4" customHeight="1" x14ac:dyDescent="0.3">
      <c r="A315" s="696" t="s">
        <v>505</v>
      </c>
      <c r="B315" s="697" t="s">
        <v>506</v>
      </c>
      <c r="C315" s="698" t="s">
        <v>519</v>
      </c>
      <c r="D315" s="699" t="s">
        <v>520</v>
      </c>
      <c r="E315" s="698" t="s">
        <v>2140</v>
      </c>
      <c r="F315" s="699" t="s">
        <v>2141</v>
      </c>
      <c r="G315" s="698" t="s">
        <v>2480</v>
      </c>
      <c r="H315" s="698" t="s">
        <v>2481</v>
      </c>
      <c r="I315" s="701">
        <v>82.161252975463867</v>
      </c>
      <c r="J315" s="701">
        <v>280</v>
      </c>
      <c r="K315" s="702">
        <v>23004.7802734375</v>
      </c>
    </row>
    <row r="316" spans="1:11" ht="14.4" customHeight="1" x14ac:dyDescent="0.3">
      <c r="A316" s="696" t="s">
        <v>505</v>
      </c>
      <c r="B316" s="697" t="s">
        <v>506</v>
      </c>
      <c r="C316" s="698" t="s">
        <v>519</v>
      </c>
      <c r="D316" s="699" t="s">
        <v>520</v>
      </c>
      <c r="E316" s="698" t="s">
        <v>2140</v>
      </c>
      <c r="F316" s="699" t="s">
        <v>2141</v>
      </c>
      <c r="G316" s="698" t="s">
        <v>2482</v>
      </c>
      <c r="H316" s="698" t="s">
        <v>2483</v>
      </c>
      <c r="I316" s="701">
        <v>36.200000762939453</v>
      </c>
      <c r="J316" s="701">
        <v>45</v>
      </c>
      <c r="K316" s="702">
        <v>1628.8700561523437</v>
      </c>
    </row>
    <row r="317" spans="1:11" ht="14.4" customHeight="1" x14ac:dyDescent="0.3">
      <c r="A317" s="696" t="s">
        <v>505</v>
      </c>
      <c r="B317" s="697" t="s">
        <v>506</v>
      </c>
      <c r="C317" s="698" t="s">
        <v>519</v>
      </c>
      <c r="D317" s="699" t="s">
        <v>520</v>
      </c>
      <c r="E317" s="698" t="s">
        <v>2140</v>
      </c>
      <c r="F317" s="699" t="s">
        <v>2141</v>
      </c>
      <c r="G317" s="698" t="s">
        <v>2484</v>
      </c>
      <c r="H317" s="698" t="s">
        <v>2485</v>
      </c>
      <c r="I317" s="701">
        <v>1.4199999570846558</v>
      </c>
      <c r="J317" s="701">
        <v>400</v>
      </c>
      <c r="K317" s="702">
        <v>569.39999389648437</v>
      </c>
    </row>
    <row r="318" spans="1:11" ht="14.4" customHeight="1" x14ac:dyDescent="0.3">
      <c r="A318" s="696" t="s">
        <v>505</v>
      </c>
      <c r="B318" s="697" t="s">
        <v>506</v>
      </c>
      <c r="C318" s="698" t="s">
        <v>519</v>
      </c>
      <c r="D318" s="699" t="s">
        <v>520</v>
      </c>
      <c r="E318" s="698" t="s">
        <v>2140</v>
      </c>
      <c r="F318" s="699" t="s">
        <v>2141</v>
      </c>
      <c r="G318" s="698" t="s">
        <v>2484</v>
      </c>
      <c r="H318" s="698" t="s">
        <v>2486</v>
      </c>
      <c r="I318" s="701">
        <v>1.4199999570846558</v>
      </c>
      <c r="J318" s="701">
        <v>200</v>
      </c>
      <c r="K318" s="702">
        <v>284.64999389648437</v>
      </c>
    </row>
    <row r="319" spans="1:11" ht="14.4" customHeight="1" x14ac:dyDescent="0.3">
      <c r="A319" s="696" t="s">
        <v>505</v>
      </c>
      <c r="B319" s="697" t="s">
        <v>506</v>
      </c>
      <c r="C319" s="698" t="s">
        <v>519</v>
      </c>
      <c r="D319" s="699" t="s">
        <v>520</v>
      </c>
      <c r="E319" s="698" t="s">
        <v>2140</v>
      </c>
      <c r="F319" s="699" t="s">
        <v>2141</v>
      </c>
      <c r="G319" s="698" t="s">
        <v>2487</v>
      </c>
      <c r="H319" s="698" t="s">
        <v>2488</v>
      </c>
      <c r="I319" s="701">
        <v>2.8533332347869873</v>
      </c>
      <c r="J319" s="701">
        <v>400</v>
      </c>
      <c r="K319" s="702">
        <v>1141.3500061035156</v>
      </c>
    </row>
    <row r="320" spans="1:11" ht="14.4" customHeight="1" x14ac:dyDescent="0.3">
      <c r="A320" s="696" t="s">
        <v>505</v>
      </c>
      <c r="B320" s="697" t="s">
        <v>506</v>
      </c>
      <c r="C320" s="698" t="s">
        <v>519</v>
      </c>
      <c r="D320" s="699" t="s">
        <v>520</v>
      </c>
      <c r="E320" s="698" t="s">
        <v>2140</v>
      </c>
      <c r="F320" s="699" t="s">
        <v>2141</v>
      </c>
      <c r="G320" s="698" t="s">
        <v>2489</v>
      </c>
      <c r="H320" s="698" t="s">
        <v>2490</v>
      </c>
      <c r="I320" s="701">
        <v>1.0272727012634277</v>
      </c>
      <c r="J320" s="701">
        <v>1350</v>
      </c>
      <c r="K320" s="702">
        <v>1386.75</v>
      </c>
    </row>
    <row r="321" spans="1:11" ht="14.4" customHeight="1" x14ac:dyDescent="0.3">
      <c r="A321" s="696" t="s">
        <v>505</v>
      </c>
      <c r="B321" s="697" t="s">
        <v>506</v>
      </c>
      <c r="C321" s="698" t="s">
        <v>519</v>
      </c>
      <c r="D321" s="699" t="s">
        <v>520</v>
      </c>
      <c r="E321" s="698" t="s">
        <v>2140</v>
      </c>
      <c r="F321" s="699" t="s">
        <v>2141</v>
      </c>
      <c r="G321" s="698" t="s">
        <v>2491</v>
      </c>
      <c r="H321" s="698" t="s">
        <v>2492</v>
      </c>
      <c r="I321" s="701">
        <v>3.1340001106262205</v>
      </c>
      <c r="J321" s="701">
        <v>1700</v>
      </c>
      <c r="K321" s="702">
        <v>5325</v>
      </c>
    </row>
    <row r="322" spans="1:11" ht="14.4" customHeight="1" x14ac:dyDescent="0.3">
      <c r="A322" s="696" t="s">
        <v>505</v>
      </c>
      <c r="B322" s="697" t="s">
        <v>506</v>
      </c>
      <c r="C322" s="698" t="s">
        <v>519</v>
      </c>
      <c r="D322" s="699" t="s">
        <v>520</v>
      </c>
      <c r="E322" s="698" t="s">
        <v>2140</v>
      </c>
      <c r="F322" s="699" t="s">
        <v>2141</v>
      </c>
      <c r="G322" s="698" t="s">
        <v>2493</v>
      </c>
      <c r="H322" s="698" t="s">
        <v>2494</v>
      </c>
      <c r="I322" s="701">
        <v>411.39999389648437</v>
      </c>
      <c r="J322" s="701">
        <v>30</v>
      </c>
      <c r="K322" s="702">
        <v>12342</v>
      </c>
    </row>
    <row r="323" spans="1:11" ht="14.4" customHeight="1" x14ac:dyDescent="0.3">
      <c r="A323" s="696" t="s">
        <v>505</v>
      </c>
      <c r="B323" s="697" t="s">
        <v>506</v>
      </c>
      <c r="C323" s="698" t="s">
        <v>519</v>
      </c>
      <c r="D323" s="699" t="s">
        <v>520</v>
      </c>
      <c r="E323" s="698" t="s">
        <v>2140</v>
      </c>
      <c r="F323" s="699" t="s">
        <v>2141</v>
      </c>
      <c r="G323" s="698" t="s">
        <v>2495</v>
      </c>
      <c r="H323" s="698" t="s">
        <v>2496</v>
      </c>
      <c r="I323" s="701">
        <v>568.70001220703125</v>
      </c>
      <c r="J323" s="701">
        <v>20</v>
      </c>
      <c r="K323" s="702">
        <v>11374</v>
      </c>
    </row>
    <row r="324" spans="1:11" ht="14.4" customHeight="1" x14ac:dyDescent="0.3">
      <c r="A324" s="696" t="s">
        <v>505</v>
      </c>
      <c r="B324" s="697" t="s">
        <v>506</v>
      </c>
      <c r="C324" s="698" t="s">
        <v>519</v>
      </c>
      <c r="D324" s="699" t="s">
        <v>520</v>
      </c>
      <c r="E324" s="698" t="s">
        <v>2140</v>
      </c>
      <c r="F324" s="699" t="s">
        <v>2141</v>
      </c>
      <c r="G324" s="698" t="s">
        <v>2497</v>
      </c>
      <c r="H324" s="698" t="s">
        <v>2498</v>
      </c>
      <c r="I324" s="701">
        <v>49.970001220703125</v>
      </c>
      <c r="J324" s="701">
        <v>10</v>
      </c>
      <c r="K324" s="702">
        <v>499.70001220703125</v>
      </c>
    </row>
    <row r="325" spans="1:11" ht="14.4" customHeight="1" x14ac:dyDescent="0.3">
      <c r="A325" s="696" t="s">
        <v>505</v>
      </c>
      <c r="B325" s="697" t="s">
        <v>506</v>
      </c>
      <c r="C325" s="698" t="s">
        <v>519</v>
      </c>
      <c r="D325" s="699" t="s">
        <v>520</v>
      </c>
      <c r="E325" s="698" t="s">
        <v>2140</v>
      </c>
      <c r="F325" s="699" t="s">
        <v>2141</v>
      </c>
      <c r="G325" s="698" t="s">
        <v>2499</v>
      </c>
      <c r="H325" s="698" t="s">
        <v>2500</v>
      </c>
      <c r="I325" s="701">
        <v>49.970001220703125</v>
      </c>
      <c r="J325" s="701">
        <v>10</v>
      </c>
      <c r="K325" s="702">
        <v>499.70001220703125</v>
      </c>
    </row>
    <row r="326" spans="1:11" ht="14.4" customHeight="1" x14ac:dyDescent="0.3">
      <c r="A326" s="696" t="s">
        <v>505</v>
      </c>
      <c r="B326" s="697" t="s">
        <v>506</v>
      </c>
      <c r="C326" s="698" t="s">
        <v>519</v>
      </c>
      <c r="D326" s="699" t="s">
        <v>520</v>
      </c>
      <c r="E326" s="698" t="s">
        <v>2140</v>
      </c>
      <c r="F326" s="699" t="s">
        <v>2141</v>
      </c>
      <c r="G326" s="698" t="s">
        <v>2501</v>
      </c>
      <c r="H326" s="698" t="s">
        <v>2502</v>
      </c>
      <c r="I326" s="701">
        <v>49.970001220703125</v>
      </c>
      <c r="J326" s="701">
        <v>10</v>
      </c>
      <c r="K326" s="702">
        <v>499.73001098632812</v>
      </c>
    </row>
    <row r="327" spans="1:11" ht="14.4" customHeight="1" x14ac:dyDescent="0.3">
      <c r="A327" s="696" t="s">
        <v>505</v>
      </c>
      <c r="B327" s="697" t="s">
        <v>506</v>
      </c>
      <c r="C327" s="698" t="s">
        <v>519</v>
      </c>
      <c r="D327" s="699" t="s">
        <v>520</v>
      </c>
      <c r="E327" s="698" t="s">
        <v>2140</v>
      </c>
      <c r="F327" s="699" t="s">
        <v>2141</v>
      </c>
      <c r="G327" s="698" t="s">
        <v>2503</v>
      </c>
      <c r="H327" s="698" t="s">
        <v>2504</v>
      </c>
      <c r="I327" s="701">
        <v>9.4399995803833008</v>
      </c>
      <c r="J327" s="701">
        <v>50</v>
      </c>
      <c r="K327" s="702">
        <v>472</v>
      </c>
    </row>
    <row r="328" spans="1:11" ht="14.4" customHeight="1" x14ac:dyDescent="0.3">
      <c r="A328" s="696" t="s">
        <v>505</v>
      </c>
      <c r="B328" s="697" t="s">
        <v>506</v>
      </c>
      <c r="C328" s="698" t="s">
        <v>519</v>
      </c>
      <c r="D328" s="699" t="s">
        <v>520</v>
      </c>
      <c r="E328" s="698" t="s">
        <v>2140</v>
      </c>
      <c r="F328" s="699" t="s">
        <v>2141</v>
      </c>
      <c r="G328" s="698" t="s">
        <v>2505</v>
      </c>
      <c r="H328" s="698" t="s">
        <v>2506</v>
      </c>
      <c r="I328" s="701">
        <v>13.310000419616699</v>
      </c>
      <c r="J328" s="701">
        <v>50</v>
      </c>
      <c r="K328" s="702">
        <v>665.5</v>
      </c>
    </row>
    <row r="329" spans="1:11" ht="14.4" customHeight="1" x14ac:dyDescent="0.3">
      <c r="A329" s="696" t="s">
        <v>505</v>
      </c>
      <c r="B329" s="697" t="s">
        <v>506</v>
      </c>
      <c r="C329" s="698" t="s">
        <v>519</v>
      </c>
      <c r="D329" s="699" t="s">
        <v>520</v>
      </c>
      <c r="E329" s="698" t="s">
        <v>2140</v>
      </c>
      <c r="F329" s="699" t="s">
        <v>2141</v>
      </c>
      <c r="G329" s="698" t="s">
        <v>2507</v>
      </c>
      <c r="H329" s="698" t="s">
        <v>2508</v>
      </c>
      <c r="I329" s="701">
        <v>0.47454544901847839</v>
      </c>
      <c r="J329" s="701">
        <v>4300</v>
      </c>
      <c r="K329" s="702">
        <v>2041.3999938964844</v>
      </c>
    </row>
    <row r="330" spans="1:11" ht="14.4" customHeight="1" x14ac:dyDescent="0.3">
      <c r="A330" s="696" t="s">
        <v>505</v>
      </c>
      <c r="B330" s="697" t="s">
        <v>506</v>
      </c>
      <c r="C330" s="698" t="s">
        <v>519</v>
      </c>
      <c r="D330" s="699" t="s">
        <v>520</v>
      </c>
      <c r="E330" s="698" t="s">
        <v>2140</v>
      </c>
      <c r="F330" s="699" t="s">
        <v>2141</v>
      </c>
      <c r="G330" s="698" t="s">
        <v>2509</v>
      </c>
      <c r="H330" s="698" t="s">
        <v>2510</v>
      </c>
      <c r="I330" s="701">
        <v>0.47307691895044768</v>
      </c>
      <c r="J330" s="701">
        <v>4700</v>
      </c>
      <c r="K330" s="702">
        <v>2226</v>
      </c>
    </row>
    <row r="331" spans="1:11" ht="14.4" customHeight="1" x14ac:dyDescent="0.3">
      <c r="A331" s="696" t="s">
        <v>505</v>
      </c>
      <c r="B331" s="697" t="s">
        <v>506</v>
      </c>
      <c r="C331" s="698" t="s">
        <v>519</v>
      </c>
      <c r="D331" s="699" t="s">
        <v>520</v>
      </c>
      <c r="E331" s="698" t="s">
        <v>2140</v>
      </c>
      <c r="F331" s="699" t="s">
        <v>2141</v>
      </c>
      <c r="G331" s="698" t="s">
        <v>2511</v>
      </c>
      <c r="H331" s="698" t="s">
        <v>2512</v>
      </c>
      <c r="I331" s="701">
        <v>130.67999267578125</v>
      </c>
      <c r="J331" s="701">
        <v>10</v>
      </c>
      <c r="K331" s="702">
        <v>1306.800048828125</v>
      </c>
    </row>
    <row r="332" spans="1:11" ht="14.4" customHeight="1" x14ac:dyDescent="0.3">
      <c r="A332" s="696" t="s">
        <v>505</v>
      </c>
      <c r="B332" s="697" t="s">
        <v>506</v>
      </c>
      <c r="C332" s="698" t="s">
        <v>519</v>
      </c>
      <c r="D332" s="699" t="s">
        <v>520</v>
      </c>
      <c r="E332" s="698" t="s">
        <v>2140</v>
      </c>
      <c r="F332" s="699" t="s">
        <v>2141</v>
      </c>
      <c r="G332" s="698" t="s">
        <v>2513</v>
      </c>
      <c r="H332" s="698" t="s">
        <v>2514</v>
      </c>
      <c r="I332" s="701">
        <v>3.7518181800842285</v>
      </c>
      <c r="J332" s="701">
        <v>360</v>
      </c>
      <c r="K332" s="702">
        <v>1350.6000061035156</v>
      </c>
    </row>
    <row r="333" spans="1:11" ht="14.4" customHeight="1" x14ac:dyDescent="0.3">
      <c r="A333" s="696" t="s">
        <v>505</v>
      </c>
      <c r="B333" s="697" t="s">
        <v>506</v>
      </c>
      <c r="C333" s="698" t="s">
        <v>519</v>
      </c>
      <c r="D333" s="699" t="s">
        <v>520</v>
      </c>
      <c r="E333" s="698" t="s">
        <v>2140</v>
      </c>
      <c r="F333" s="699" t="s">
        <v>2141</v>
      </c>
      <c r="G333" s="698" t="s">
        <v>2515</v>
      </c>
      <c r="H333" s="698" t="s">
        <v>2516</v>
      </c>
      <c r="I333" s="701">
        <v>1.9856250137090683</v>
      </c>
      <c r="J333" s="701">
        <v>5800</v>
      </c>
      <c r="K333" s="702">
        <v>11517.5</v>
      </c>
    </row>
    <row r="334" spans="1:11" ht="14.4" customHeight="1" x14ac:dyDescent="0.3">
      <c r="A334" s="696" t="s">
        <v>505</v>
      </c>
      <c r="B334" s="697" t="s">
        <v>506</v>
      </c>
      <c r="C334" s="698" t="s">
        <v>519</v>
      </c>
      <c r="D334" s="699" t="s">
        <v>520</v>
      </c>
      <c r="E334" s="698" t="s">
        <v>2140</v>
      </c>
      <c r="F334" s="699" t="s">
        <v>2141</v>
      </c>
      <c r="G334" s="698" t="s">
        <v>2517</v>
      </c>
      <c r="H334" s="698" t="s">
        <v>2518</v>
      </c>
      <c r="I334" s="701">
        <v>2.0416666269302368</v>
      </c>
      <c r="J334" s="701">
        <v>1050</v>
      </c>
      <c r="K334" s="702">
        <v>2145.5</v>
      </c>
    </row>
    <row r="335" spans="1:11" ht="14.4" customHeight="1" x14ac:dyDescent="0.3">
      <c r="A335" s="696" t="s">
        <v>505</v>
      </c>
      <c r="B335" s="697" t="s">
        <v>506</v>
      </c>
      <c r="C335" s="698" t="s">
        <v>519</v>
      </c>
      <c r="D335" s="699" t="s">
        <v>520</v>
      </c>
      <c r="E335" s="698" t="s">
        <v>2140</v>
      </c>
      <c r="F335" s="699" t="s">
        <v>2141</v>
      </c>
      <c r="G335" s="698" t="s">
        <v>2519</v>
      </c>
      <c r="H335" s="698" t="s">
        <v>2520</v>
      </c>
      <c r="I335" s="701">
        <v>1.8999999761581421</v>
      </c>
      <c r="J335" s="701">
        <v>150</v>
      </c>
      <c r="K335" s="702">
        <v>285</v>
      </c>
    </row>
    <row r="336" spans="1:11" ht="14.4" customHeight="1" x14ac:dyDescent="0.3">
      <c r="A336" s="696" t="s">
        <v>505</v>
      </c>
      <c r="B336" s="697" t="s">
        <v>506</v>
      </c>
      <c r="C336" s="698" t="s">
        <v>519</v>
      </c>
      <c r="D336" s="699" t="s">
        <v>520</v>
      </c>
      <c r="E336" s="698" t="s">
        <v>2140</v>
      </c>
      <c r="F336" s="699" t="s">
        <v>2141</v>
      </c>
      <c r="G336" s="698" t="s">
        <v>2521</v>
      </c>
      <c r="H336" s="698" t="s">
        <v>2522</v>
      </c>
      <c r="I336" s="701">
        <v>2.6975000500679016</v>
      </c>
      <c r="J336" s="701">
        <v>3450</v>
      </c>
      <c r="K336" s="702">
        <v>9307</v>
      </c>
    </row>
    <row r="337" spans="1:11" ht="14.4" customHeight="1" x14ac:dyDescent="0.3">
      <c r="A337" s="696" t="s">
        <v>505</v>
      </c>
      <c r="B337" s="697" t="s">
        <v>506</v>
      </c>
      <c r="C337" s="698" t="s">
        <v>519</v>
      </c>
      <c r="D337" s="699" t="s">
        <v>520</v>
      </c>
      <c r="E337" s="698" t="s">
        <v>2140</v>
      </c>
      <c r="F337" s="699" t="s">
        <v>2141</v>
      </c>
      <c r="G337" s="698" t="s">
        <v>2523</v>
      </c>
      <c r="H337" s="698" t="s">
        <v>2524</v>
      </c>
      <c r="I337" s="701">
        <v>3.0749999284744263</v>
      </c>
      <c r="J337" s="701">
        <v>300</v>
      </c>
      <c r="K337" s="702">
        <v>923</v>
      </c>
    </row>
    <row r="338" spans="1:11" ht="14.4" customHeight="1" x14ac:dyDescent="0.3">
      <c r="A338" s="696" t="s">
        <v>505</v>
      </c>
      <c r="B338" s="697" t="s">
        <v>506</v>
      </c>
      <c r="C338" s="698" t="s">
        <v>519</v>
      </c>
      <c r="D338" s="699" t="s">
        <v>520</v>
      </c>
      <c r="E338" s="698" t="s">
        <v>2140</v>
      </c>
      <c r="F338" s="699" t="s">
        <v>2141</v>
      </c>
      <c r="G338" s="698" t="s">
        <v>2525</v>
      </c>
      <c r="H338" s="698" t="s">
        <v>2526</v>
      </c>
      <c r="I338" s="701">
        <v>1.9233332872390747</v>
      </c>
      <c r="J338" s="701">
        <v>450</v>
      </c>
      <c r="K338" s="702">
        <v>864.5</v>
      </c>
    </row>
    <row r="339" spans="1:11" ht="14.4" customHeight="1" x14ac:dyDescent="0.3">
      <c r="A339" s="696" t="s">
        <v>505</v>
      </c>
      <c r="B339" s="697" t="s">
        <v>506</v>
      </c>
      <c r="C339" s="698" t="s">
        <v>519</v>
      </c>
      <c r="D339" s="699" t="s">
        <v>520</v>
      </c>
      <c r="E339" s="698" t="s">
        <v>2140</v>
      </c>
      <c r="F339" s="699" t="s">
        <v>2141</v>
      </c>
      <c r="G339" s="698" t="s">
        <v>2527</v>
      </c>
      <c r="H339" s="698" t="s">
        <v>2528</v>
      </c>
      <c r="I339" s="701">
        <v>3.09428562436785</v>
      </c>
      <c r="J339" s="701">
        <v>2000</v>
      </c>
      <c r="K339" s="702">
        <v>6188</v>
      </c>
    </row>
    <row r="340" spans="1:11" ht="14.4" customHeight="1" x14ac:dyDescent="0.3">
      <c r="A340" s="696" t="s">
        <v>505</v>
      </c>
      <c r="B340" s="697" t="s">
        <v>506</v>
      </c>
      <c r="C340" s="698" t="s">
        <v>519</v>
      </c>
      <c r="D340" s="699" t="s">
        <v>520</v>
      </c>
      <c r="E340" s="698" t="s">
        <v>2140</v>
      </c>
      <c r="F340" s="699" t="s">
        <v>2141</v>
      </c>
      <c r="G340" s="698" t="s">
        <v>2529</v>
      </c>
      <c r="H340" s="698" t="s">
        <v>2530</v>
      </c>
      <c r="I340" s="701">
        <v>2.1660000801086428</v>
      </c>
      <c r="J340" s="701">
        <v>3100</v>
      </c>
      <c r="K340" s="702">
        <v>6715.5</v>
      </c>
    </row>
    <row r="341" spans="1:11" ht="14.4" customHeight="1" x14ac:dyDescent="0.3">
      <c r="A341" s="696" t="s">
        <v>505</v>
      </c>
      <c r="B341" s="697" t="s">
        <v>506</v>
      </c>
      <c r="C341" s="698" t="s">
        <v>519</v>
      </c>
      <c r="D341" s="699" t="s">
        <v>520</v>
      </c>
      <c r="E341" s="698" t="s">
        <v>2140</v>
      </c>
      <c r="F341" s="699" t="s">
        <v>2141</v>
      </c>
      <c r="G341" s="698" t="s">
        <v>2531</v>
      </c>
      <c r="H341" s="698" t="s">
        <v>2532</v>
      </c>
      <c r="I341" s="701">
        <v>21.236666361490887</v>
      </c>
      <c r="J341" s="701">
        <v>350</v>
      </c>
      <c r="K341" s="702">
        <v>7432.5</v>
      </c>
    </row>
    <row r="342" spans="1:11" ht="14.4" customHeight="1" x14ac:dyDescent="0.3">
      <c r="A342" s="696" t="s">
        <v>505</v>
      </c>
      <c r="B342" s="697" t="s">
        <v>506</v>
      </c>
      <c r="C342" s="698" t="s">
        <v>519</v>
      </c>
      <c r="D342" s="699" t="s">
        <v>520</v>
      </c>
      <c r="E342" s="698" t="s">
        <v>2140</v>
      </c>
      <c r="F342" s="699" t="s">
        <v>2141</v>
      </c>
      <c r="G342" s="698" t="s">
        <v>2533</v>
      </c>
      <c r="H342" s="698" t="s">
        <v>2534</v>
      </c>
      <c r="I342" s="701">
        <v>5.0100002288818359</v>
      </c>
      <c r="J342" s="701">
        <v>150</v>
      </c>
      <c r="K342" s="702">
        <v>751.5</v>
      </c>
    </row>
    <row r="343" spans="1:11" ht="14.4" customHeight="1" x14ac:dyDescent="0.3">
      <c r="A343" s="696" t="s">
        <v>505</v>
      </c>
      <c r="B343" s="697" t="s">
        <v>506</v>
      </c>
      <c r="C343" s="698" t="s">
        <v>519</v>
      </c>
      <c r="D343" s="699" t="s">
        <v>520</v>
      </c>
      <c r="E343" s="698" t="s">
        <v>2140</v>
      </c>
      <c r="F343" s="699" t="s">
        <v>2141</v>
      </c>
      <c r="G343" s="698" t="s">
        <v>2535</v>
      </c>
      <c r="H343" s="698" t="s">
        <v>2536</v>
      </c>
      <c r="I343" s="701">
        <v>2.5149999856948853</v>
      </c>
      <c r="J343" s="701">
        <v>400</v>
      </c>
      <c r="K343" s="702">
        <v>1006</v>
      </c>
    </row>
    <row r="344" spans="1:11" ht="14.4" customHeight="1" x14ac:dyDescent="0.3">
      <c r="A344" s="696" t="s">
        <v>505</v>
      </c>
      <c r="B344" s="697" t="s">
        <v>506</v>
      </c>
      <c r="C344" s="698" t="s">
        <v>519</v>
      </c>
      <c r="D344" s="699" t="s">
        <v>520</v>
      </c>
      <c r="E344" s="698" t="s">
        <v>2140</v>
      </c>
      <c r="F344" s="699" t="s">
        <v>2141</v>
      </c>
      <c r="G344" s="698" t="s">
        <v>2537</v>
      </c>
      <c r="H344" s="698" t="s">
        <v>2538</v>
      </c>
      <c r="I344" s="701">
        <v>21.236249685287476</v>
      </c>
      <c r="J344" s="701">
        <v>450</v>
      </c>
      <c r="K344" s="702">
        <v>9556</v>
      </c>
    </row>
    <row r="345" spans="1:11" ht="14.4" customHeight="1" x14ac:dyDescent="0.3">
      <c r="A345" s="696" t="s">
        <v>505</v>
      </c>
      <c r="B345" s="697" t="s">
        <v>506</v>
      </c>
      <c r="C345" s="698" t="s">
        <v>519</v>
      </c>
      <c r="D345" s="699" t="s">
        <v>520</v>
      </c>
      <c r="E345" s="698" t="s">
        <v>2140</v>
      </c>
      <c r="F345" s="699" t="s">
        <v>2141</v>
      </c>
      <c r="G345" s="698" t="s">
        <v>2539</v>
      </c>
      <c r="H345" s="698" t="s">
        <v>2540</v>
      </c>
      <c r="I345" s="701">
        <v>1.9950000047683716</v>
      </c>
      <c r="J345" s="701">
        <v>150</v>
      </c>
      <c r="K345" s="702">
        <v>299</v>
      </c>
    </row>
    <row r="346" spans="1:11" ht="14.4" customHeight="1" x14ac:dyDescent="0.3">
      <c r="A346" s="696" t="s">
        <v>505</v>
      </c>
      <c r="B346" s="697" t="s">
        <v>506</v>
      </c>
      <c r="C346" s="698" t="s">
        <v>519</v>
      </c>
      <c r="D346" s="699" t="s">
        <v>520</v>
      </c>
      <c r="E346" s="698" t="s">
        <v>2140</v>
      </c>
      <c r="F346" s="699" t="s">
        <v>2141</v>
      </c>
      <c r="G346" s="698" t="s">
        <v>2541</v>
      </c>
      <c r="H346" s="698" t="s">
        <v>2542</v>
      </c>
      <c r="I346" s="701">
        <v>2.5249999761581421</v>
      </c>
      <c r="J346" s="701">
        <v>100</v>
      </c>
      <c r="K346" s="702">
        <v>252.5</v>
      </c>
    </row>
    <row r="347" spans="1:11" ht="14.4" customHeight="1" x14ac:dyDescent="0.3">
      <c r="A347" s="696" t="s">
        <v>505</v>
      </c>
      <c r="B347" s="697" t="s">
        <v>506</v>
      </c>
      <c r="C347" s="698" t="s">
        <v>519</v>
      </c>
      <c r="D347" s="699" t="s">
        <v>520</v>
      </c>
      <c r="E347" s="698" t="s">
        <v>2543</v>
      </c>
      <c r="F347" s="699" t="s">
        <v>2544</v>
      </c>
      <c r="G347" s="698" t="s">
        <v>2545</v>
      </c>
      <c r="H347" s="698" t="s">
        <v>2546</v>
      </c>
      <c r="I347" s="701">
        <v>10.162941091200885</v>
      </c>
      <c r="J347" s="701">
        <v>12000</v>
      </c>
      <c r="K347" s="702">
        <v>121955</v>
      </c>
    </row>
    <row r="348" spans="1:11" ht="14.4" customHeight="1" x14ac:dyDescent="0.3">
      <c r="A348" s="696" t="s">
        <v>505</v>
      </c>
      <c r="B348" s="697" t="s">
        <v>506</v>
      </c>
      <c r="C348" s="698" t="s">
        <v>519</v>
      </c>
      <c r="D348" s="699" t="s">
        <v>520</v>
      </c>
      <c r="E348" s="698" t="s">
        <v>2543</v>
      </c>
      <c r="F348" s="699" t="s">
        <v>2544</v>
      </c>
      <c r="G348" s="698" t="s">
        <v>2547</v>
      </c>
      <c r="H348" s="698" t="s">
        <v>2548</v>
      </c>
      <c r="I348" s="701">
        <v>162.61499786376953</v>
      </c>
      <c r="J348" s="701">
        <v>30</v>
      </c>
      <c r="K348" s="702">
        <v>4878.3699951171875</v>
      </c>
    </row>
    <row r="349" spans="1:11" ht="14.4" customHeight="1" x14ac:dyDescent="0.3">
      <c r="A349" s="696" t="s">
        <v>505</v>
      </c>
      <c r="B349" s="697" t="s">
        <v>506</v>
      </c>
      <c r="C349" s="698" t="s">
        <v>519</v>
      </c>
      <c r="D349" s="699" t="s">
        <v>520</v>
      </c>
      <c r="E349" s="698" t="s">
        <v>2543</v>
      </c>
      <c r="F349" s="699" t="s">
        <v>2544</v>
      </c>
      <c r="G349" s="698" t="s">
        <v>2549</v>
      </c>
      <c r="H349" s="698" t="s">
        <v>2550</v>
      </c>
      <c r="I349" s="701">
        <v>7.0077779557969837</v>
      </c>
      <c r="J349" s="701">
        <v>2400</v>
      </c>
      <c r="K349" s="702">
        <v>16819.800048828125</v>
      </c>
    </row>
    <row r="350" spans="1:11" ht="14.4" customHeight="1" x14ac:dyDescent="0.3">
      <c r="A350" s="696" t="s">
        <v>505</v>
      </c>
      <c r="B350" s="697" t="s">
        <v>506</v>
      </c>
      <c r="C350" s="698" t="s">
        <v>519</v>
      </c>
      <c r="D350" s="699" t="s">
        <v>520</v>
      </c>
      <c r="E350" s="698" t="s">
        <v>2551</v>
      </c>
      <c r="F350" s="699" t="s">
        <v>2552</v>
      </c>
      <c r="G350" s="698" t="s">
        <v>2553</v>
      </c>
      <c r="H350" s="698" t="s">
        <v>2554</v>
      </c>
      <c r="I350" s="701">
        <v>35.310001373291016</v>
      </c>
      <c r="J350" s="701">
        <v>72</v>
      </c>
      <c r="K350" s="702">
        <v>2541.9599609375</v>
      </c>
    </row>
    <row r="351" spans="1:11" ht="14.4" customHeight="1" x14ac:dyDescent="0.3">
      <c r="A351" s="696" t="s">
        <v>505</v>
      </c>
      <c r="B351" s="697" t="s">
        <v>506</v>
      </c>
      <c r="C351" s="698" t="s">
        <v>519</v>
      </c>
      <c r="D351" s="699" t="s">
        <v>520</v>
      </c>
      <c r="E351" s="698" t="s">
        <v>2551</v>
      </c>
      <c r="F351" s="699" t="s">
        <v>2552</v>
      </c>
      <c r="G351" s="698" t="s">
        <v>2555</v>
      </c>
      <c r="H351" s="698" t="s">
        <v>2556</v>
      </c>
      <c r="I351" s="701">
        <v>28.649999618530273</v>
      </c>
      <c r="J351" s="701">
        <v>36</v>
      </c>
      <c r="K351" s="702">
        <v>1031.550048828125</v>
      </c>
    </row>
    <row r="352" spans="1:11" ht="14.4" customHeight="1" x14ac:dyDescent="0.3">
      <c r="A352" s="696" t="s">
        <v>505</v>
      </c>
      <c r="B352" s="697" t="s">
        <v>506</v>
      </c>
      <c r="C352" s="698" t="s">
        <v>519</v>
      </c>
      <c r="D352" s="699" t="s">
        <v>520</v>
      </c>
      <c r="E352" s="698" t="s">
        <v>2551</v>
      </c>
      <c r="F352" s="699" t="s">
        <v>2552</v>
      </c>
      <c r="G352" s="698" t="s">
        <v>2557</v>
      </c>
      <c r="H352" s="698" t="s">
        <v>2558</v>
      </c>
      <c r="I352" s="701">
        <v>24.219999313354492</v>
      </c>
      <c r="J352" s="701">
        <v>72</v>
      </c>
      <c r="K352" s="702">
        <v>1743.8599853515625</v>
      </c>
    </row>
    <row r="353" spans="1:11" ht="14.4" customHeight="1" x14ac:dyDescent="0.3">
      <c r="A353" s="696" t="s">
        <v>505</v>
      </c>
      <c r="B353" s="697" t="s">
        <v>506</v>
      </c>
      <c r="C353" s="698" t="s">
        <v>519</v>
      </c>
      <c r="D353" s="699" t="s">
        <v>520</v>
      </c>
      <c r="E353" s="698" t="s">
        <v>2551</v>
      </c>
      <c r="F353" s="699" t="s">
        <v>2552</v>
      </c>
      <c r="G353" s="698" t="s">
        <v>2559</v>
      </c>
      <c r="H353" s="698" t="s">
        <v>2560</v>
      </c>
      <c r="I353" s="701">
        <v>30.309999465942383</v>
      </c>
      <c r="J353" s="701">
        <v>24</v>
      </c>
      <c r="K353" s="702">
        <v>727.489990234375</v>
      </c>
    </row>
    <row r="354" spans="1:11" ht="14.4" customHeight="1" x14ac:dyDescent="0.3">
      <c r="A354" s="696" t="s">
        <v>505</v>
      </c>
      <c r="B354" s="697" t="s">
        <v>506</v>
      </c>
      <c r="C354" s="698" t="s">
        <v>519</v>
      </c>
      <c r="D354" s="699" t="s">
        <v>520</v>
      </c>
      <c r="E354" s="698" t="s">
        <v>2551</v>
      </c>
      <c r="F354" s="699" t="s">
        <v>2552</v>
      </c>
      <c r="G354" s="698" t="s">
        <v>2561</v>
      </c>
      <c r="H354" s="698" t="s">
        <v>2562</v>
      </c>
      <c r="I354" s="701">
        <v>33.599998474121094</v>
      </c>
      <c r="J354" s="701">
        <v>252</v>
      </c>
      <c r="K354" s="702">
        <v>8467.81982421875</v>
      </c>
    </row>
    <row r="355" spans="1:11" ht="14.4" customHeight="1" x14ac:dyDescent="0.3">
      <c r="A355" s="696" t="s">
        <v>505</v>
      </c>
      <c r="B355" s="697" t="s">
        <v>506</v>
      </c>
      <c r="C355" s="698" t="s">
        <v>519</v>
      </c>
      <c r="D355" s="699" t="s">
        <v>520</v>
      </c>
      <c r="E355" s="698" t="s">
        <v>2551</v>
      </c>
      <c r="F355" s="699" t="s">
        <v>2552</v>
      </c>
      <c r="G355" s="698" t="s">
        <v>2563</v>
      </c>
      <c r="H355" s="698" t="s">
        <v>2564</v>
      </c>
      <c r="I355" s="701">
        <v>45.029998779296875</v>
      </c>
      <c r="J355" s="701">
        <v>36</v>
      </c>
      <c r="K355" s="702">
        <v>1620.9300537109375</v>
      </c>
    </row>
    <row r="356" spans="1:11" ht="14.4" customHeight="1" x14ac:dyDescent="0.3">
      <c r="A356" s="696" t="s">
        <v>505</v>
      </c>
      <c r="B356" s="697" t="s">
        <v>506</v>
      </c>
      <c r="C356" s="698" t="s">
        <v>519</v>
      </c>
      <c r="D356" s="699" t="s">
        <v>520</v>
      </c>
      <c r="E356" s="698" t="s">
        <v>2565</v>
      </c>
      <c r="F356" s="699" t="s">
        <v>2566</v>
      </c>
      <c r="G356" s="698" t="s">
        <v>2567</v>
      </c>
      <c r="H356" s="698" t="s">
        <v>2568</v>
      </c>
      <c r="I356" s="701">
        <v>11.210000038146973</v>
      </c>
      <c r="J356" s="701">
        <v>20</v>
      </c>
      <c r="K356" s="702">
        <v>224.10000610351562</v>
      </c>
    </row>
    <row r="357" spans="1:11" ht="14.4" customHeight="1" x14ac:dyDescent="0.3">
      <c r="A357" s="696" t="s">
        <v>505</v>
      </c>
      <c r="B357" s="697" t="s">
        <v>506</v>
      </c>
      <c r="C357" s="698" t="s">
        <v>519</v>
      </c>
      <c r="D357" s="699" t="s">
        <v>520</v>
      </c>
      <c r="E357" s="698" t="s">
        <v>2565</v>
      </c>
      <c r="F357" s="699" t="s">
        <v>2566</v>
      </c>
      <c r="G357" s="698" t="s">
        <v>2569</v>
      </c>
      <c r="H357" s="698" t="s">
        <v>2570</v>
      </c>
      <c r="I357" s="701">
        <v>11.529999732971191</v>
      </c>
      <c r="J357" s="701">
        <v>20</v>
      </c>
      <c r="K357" s="702">
        <v>230.6199951171875</v>
      </c>
    </row>
    <row r="358" spans="1:11" ht="14.4" customHeight="1" x14ac:dyDescent="0.3">
      <c r="A358" s="696" t="s">
        <v>505</v>
      </c>
      <c r="B358" s="697" t="s">
        <v>506</v>
      </c>
      <c r="C358" s="698" t="s">
        <v>519</v>
      </c>
      <c r="D358" s="699" t="s">
        <v>520</v>
      </c>
      <c r="E358" s="698" t="s">
        <v>2565</v>
      </c>
      <c r="F358" s="699" t="s">
        <v>2566</v>
      </c>
      <c r="G358" s="698" t="s">
        <v>2571</v>
      </c>
      <c r="H358" s="698" t="s">
        <v>2572</v>
      </c>
      <c r="I358" s="701">
        <v>0.30428572211946758</v>
      </c>
      <c r="J358" s="701">
        <v>800</v>
      </c>
      <c r="K358" s="702">
        <v>241</v>
      </c>
    </row>
    <row r="359" spans="1:11" ht="14.4" customHeight="1" x14ac:dyDescent="0.3">
      <c r="A359" s="696" t="s">
        <v>505</v>
      </c>
      <c r="B359" s="697" t="s">
        <v>506</v>
      </c>
      <c r="C359" s="698" t="s">
        <v>519</v>
      </c>
      <c r="D359" s="699" t="s">
        <v>520</v>
      </c>
      <c r="E359" s="698" t="s">
        <v>2565</v>
      </c>
      <c r="F359" s="699" t="s">
        <v>2566</v>
      </c>
      <c r="G359" s="698" t="s">
        <v>2573</v>
      </c>
      <c r="H359" s="698" t="s">
        <v>2574</v>
      </c>
      <c r="I359" s="701">
        <v>0.30473684950878743</v>
      </c>
      <c r="J359" s="701">
        <v>13100</v>
      </c>
      <c r="K359" s="702">
        <v>3997</v>
      </c>
    </row>
    <row r="360" spans="1:11" ht="14.4" customHeight="1" x14ac:dyDescent="0.3">
      <c r="A360" s="696" t="s">
        <v>505</v>
      </c>
      <c r="B360" s="697" t="s">
        <v>506</v>
      </c>
      <c r="C360" s="698" t="s">
        <v>519</v>
      </c>
      <c r="D360" s="699" t="s">
        <v>520</v>
      </c>
      <c r="E360" s="698" t="s">
        <v>2565</v>
      </c>
      <c r="F360" s="699" t="s">
        <v>2566</v>
      </c>
      <c r="G360" s="698" t="s">
        <v>2575</v>
      </c>
      <c r="H360" s="698" t="s">
        <v>2576</v>
      </c>
      <c r="I360" s="701">
        <v>0.30181818929585541</v>
      </c>
      <c r="J360" s="701">
        <v>2700</v>
      </c>
      <c r="K360" s="702">
        <v>815</v>
      </c>
    </row>
    <row r="361" spans="1:11" ht="14.4" customHeight="1" x14ac:dyDescent="0.3">
      <c r="A361" s="696" t="s">
        <v>505</v>
      </c>
      <c r="B361" s="697" t="s">
        <v>506</v>
      </c>
      <c r="C361" s="698" t="s">
        <v>519</v>
      </c>
      <c r="D361" s="699" t="s">
        <v>520</v>
      </c>
      <c r="E361" s="698" t="s">
        <v>2565</v>
      </c>
      <c r="F361" s="699" t="s">
        <v>2566</v>
      </c>
      <c r="G361" s="698" t="s">
        <v>2577</v>
      </c>
      <c r="H361" s="698" t="s">
        <v>2578</v>
      </c>
      <c r="I361" s="701">
        <v>0.31000000238418579</v>
      </c>
      <c r="J361" s="701">
        <v>400</v>
      </c>
      <c r="K361" s="702">
        <v>124</v>
      </c>
    </row>
    <row r="362" spans="1:11" ht="14.4" customHeight="1" x14ac:dyDescent="0.3">
      <c r="A362" s="696" t="s">
        <v>505</v>
      </c>
      <c r="B362" s="697" t="s">
        <v>506</v>
      </c>
      <c r="C362" s="698" t="s">
        <v>519</v>
      </c>
      <c r="D362" s="699" t="s">
        <v>520</v>
      </c>
      <c r="E362" s="698" t="s">
        <v>2565</v>
      </c>
      <c r="F362" s="699" t="s">
        <v>2566</v>
      </c>
      <c r="G362" s="698" t="s">
        <v>2579</v>
      </c>
      <c r="H362" s="698" t="s">
        <v>2580</v>
      </c>
      <c r="I362" s="701">
        <v>0.5426315978953713</v>
      </c>
      <c r="J362" s="701">
        <v>41800</v>
      </c>
      <c r="K362" s="702">
        <v>22682</v>
      </c>
    </row>
    <row r="363" spans="1:11" ht="14.4" customHeight="1" x14ac:dyDescent="0.3">
      <c r="A363" s="696" t="s">
        <v>505</v>
      </c>
      <c r="B363" s="697" t="s">
        <v>506</v>
      </c>
      <c r="C363" s="698" t="s">
        <v>519</v>
      </c>
      <c r="D363" s="699" t="s">
        <v>520</v>
      </c>
      <c r="E363" s="698" t="s">
        <v>2565</v>
      </c>
      <c r="F363" s="699" t="s">
        <v>2566</v>
      </c>
      <c r="G363" s="698" t="s">
        <v>2581</v>
      </c>
      <c r="H363" s="698" t="s">
        <v>2582</v>
      </c>
      <c r="I363" s="701">
        <v>0.96750001609325409</v>
      </c>
      <c r="J363" s="701">
        <v>800</v>
      </c>
      <c r="K363" s="702">
        <v>774</v>
      </c>
    </row>
    <row r="364" spans="1:11" ht="14.4" customHeight="1" x14ac:dyDescent="0.3">
      <c r="A364" s="696" t="s">
        <v>505</v>
      </c>
      <c r="B364" s="697" t="s">
        <v>506</v>
      </c>
      <c r="C364" s="698" t="s">
        <v>519</v>
      </c>
      <c r="D364" s="699" t="s">
        <v>520</v>
      </c>
      <c r="E364" s="698" t="s">
        <v>2565</v>
      </c>
      <c r="F364" s="699" t="s">
        <v>2566</v>
      </c>
      <c r="G364" s="698" t="s">
        <v>2583</v>
      </c>
      <c r="H364" s="698" t="s">
        <v>2584</v>
      </c>
      <c r="I364" s="701">
        <v>1.7999999523162842</v>
      </c>
      <c r="J364" s="701">
        <v>100</v>
      </c>
      <c r="K364" s="702">
        <v>180</v>
      </c>
    </row>
    <row r="365" spans="1:11" ht="14.4" customHeight="1" x14ac:dyDescent="0.3">
      <c r="A365" s="696" t="s">
        <v>505</v>
      </c>
      <c r="B365" s="697" t="s">
        <v>506</v>
      </c>
      <c r="C365" s="698" t="s">
        <v>519</v>
      </c>
      <c r="D365" s="699" t="s">
        <v>520</v>
      </c>
      <c r="E365" s="698" t="s">
        <v>2585</v>
      </c>
      <c r="F365" s="699" t="s">
        <v>2586</v>
      </c>
      <c r="G365" s="698" t="s">
        <v>2587</v>
      </c>
      <c r="H365" s="698" t="s">
        <v>2588</v>
      </c>
      <c r="I365" s="701">
        <v>0.62999999523162842</v>
      </c>
      <c r="J365" s="701">
        <v>10000</v>
      </c>
      <c r="K365" s="702">
        <v>6300</v>
      </c>
    </row>
    <row r="366" spans="1:11" ht="14.4" customHeight="1" x14ac:dyDescent="0.3">
      <c r="A366" s="696" t="s">
        <v>505</v>
      </c>
      <c r="B366" s="697" t="s">
        <v>506</v>
      </c>
      <c r="C366" s="698" t="s">
        <v>519</v>
      </c>
      <c r="D366" s="699" t="s">
        <v>520</v>
      </c>
      <c r="E366" s="698" t="s">
        <v>2585</v>
      </c>
      <c r="F366" s="699" t="s">
        <v>2586</v>
      </c>
      <c r="G366" s="698" t="s">
        <v>2589</v>
      </c>
      <c r="H366" s="698" t="s">
        <v>2590</v>
      </c>
      <c r="I366" s="701">
        <v>0.62999999523162842</v>
      </c>
      <c r="J366" s="701">
        <v>80000</v>
      </c>
      <c r="K366" s="702">
        <v>50400</v>
      </c>
    </row>
    <row r="367" spans="1:11" ht="14.4" customHeight="1" x14ac:dyDescent="0.3">
      <c r="A367" s="696" t="s">
        <v>505</v>
      </c>
      <c r="B367" s="697" t="s">
        <v>506</v>
      </c>
      <c r="C367" s="698" t="s">
        <v>519</v>
      </c>
      <c r="D367" s="699" t="s">
        <v>520</v>
      </c>
      <c r="E367" s="698" t="s">
        <v>2585</v>
      </c>
      <c r="F367" s="699" t="s">
        <v>2586</v>
      </c>
      <c r="G367" s="698" t="s">
        <v>2591</v>
      </c>
      <c r="H367" s="698" t="s">
        <v>2592</v>
      </c>
      <c r="I367" s="701">
        <v>0.62999999523162842</v>
      </c>
      <c r="J367" s="701">
        <v>340</v>
      </c>
      <c r="K367" s="702">
        <v>214.19999694824219</v>
      </c>
    </row>
    <row r="368" spans="1:11" ht="14.4" customHeight="1" x14ac:dyDescent="0.3">
      <c r="A368" s="696" t="s">
        <v>505</v>
      </c>
      <c r="B368" s="697" t="s">
        <v>506</v>
      </c>
      <c r="C368" s="698" t="s">
        <v>519</v>
      </c>
      <c r="D368" s="699" t="s">
        <v>520</v>
      </c>
      <c r="E368" s="698" t="s">
        <v>2585</v>
      </c>
      <c r="F368" s="699" t="s">
        <v>2586</v>
      </c>
      <c r="G368" s="698" t="s">
        <v>2593</v>
      </c>
      <c r="H368" s="698" t="s">
        <v>2594</v>
      </c>
      <c r="I368" s="701">
        <v>24.200000762939453</v>
      </c>
      <c r="J368" s="701">
        <v>100</v>
      </c>
      <c r="K368" s="702">
        <v>2420</v>
      </c>
    </row>
    <row r="369" spans="1:11" ht="14.4" customHeight="1" x14ac:dyDescent="0.3">
      <c r="A369" s="696" t="s">
        <v>505</v>
      </c>
      <c r="B369" s="697" t="s">
        <v>506</v>
      </c>
      <c r="C369" s="698" t="s">
        <v>519</v>
      </c>
      <c r="D369" s="699" t="s">
        <v>520</v>
      </c>
      <c r="E369" s="698" t="s">
        <v>2585</v>
      </c>
      <c r="F369" s="699" t="s">
        <v>2586</v>
      </c>
      <c r="G369" s="698" t="s">
        <v>2593</v>
      </c>
      <c r="H369" s="698" t="s">
        <v>2595</v>
      </c>
      <c r="I369" s="701">
        <v>27.690000534057617</v>
      </c>
      <c r="J369" s="701">
        <v>100</v>
      </c>
      <c r="K369" s="702">
        <v>2769.320068359375</v>
      </c>
    </row>
    <row r="370" spans="1:11" ht="14.4" customHeight="1" x14ac:dyDescent="0.3">
      <c r="A370" s="696" t="s">
        <v>505</v>
      </c>
      <c r="B370" s="697" t="s">
        <v>506</v>
      </c>
      <c r="C370" s="698" t="s">
        <v>519</v>
      </c>
      <c r="D370" s="699" t="s">
        <v>520</v>
      </c>
      <c r="E370" s="698" t="s">
        <v>2585</v>
      </c>
      <c r="F370" s="699" t="s">
        <v>2586</v>
      </c>
      <c r="G370" s="698" t="s">
        <v>2596</v>
      </c>
      <c r="H370" s="698" t="s">
        <v>2597</v>
      </c>
      <c r="I370" s="701">
        <v>12.585000038146973</v>
      </c>
      <c r="J370" s="701">
        <v>100</v>
      </c>
      <c r="K370" s="702">
        <v>1258.5</v>
      </c>
    </row>
    <row r="371" spans="1:11" ht="14.4" customHeight="1" x14ac:dyDescent="0.3">
      <c r="A371" s="696" t="s">
        <v>505</v>
      </c>
      <c r="B371" s="697" t="s">
        <v>506</v>
      </c>
      <c r="C371" s="698" t="s">
        <v>519</v>
      </c>
      <c r="D371" s="699" t="s">
        <v>520</v>
      </c>
      <c r="E371" s="698" t="s">
        <v>2585</v>
      </c>
      <c r="F371" s="699" t="s">
        <v>2586</v>
      </c>
      <c r="G371" s="698" t="s">
        <v>2598</v>
      </c>
      <c r="H371" s="698" t="s">
        <v>2599</v>
      </c>
      <c r="I371" s="701">
        <v>12.585000038146973</v>
      </c>
      <c r="J371" s="701">
        <v>100</v>
      </c>
      <c r="K371" s="702">
        <v>1258.5</v>
      </c>
    </row>
    <row r="372" spans="1:11" ht="14.4" customHeight="1" x14ac:dyDescent="0.3">
      <c r="A372" s="696" t="s">
        <v>505</v>
      </c>
      <c r="B372" s="697" t="s">
        <v>506</v>
      </c>
      <c r="C372" s="698" t="s">
        <v>519</v>
      </c>
      <c r="D372" s="699" t="s">
        <v>520</v>
      </c>
      <c r="E372" s="698" t="s">
        <v>2585</v>
      </c>
      <c r="F372" s="699" t="s">
        <v>2586</v>
      </c>
      <c r="G372" s="698" t="s">
        <v>2600</v>
      </c>
      <c r="H372" s="698" t="s">
        <v>2601</v>
      </c>
      <c r="I372" s="701">
        <v>12.590000152587891</v>
      </c>
      <c r="J372" s="701">
        <v>50</v>
      </c>
      <c r="K372" s="702">
        <v>629.5</v>
      </c>
    </row>
    <row r="373" spans="1:11" ht="14.4" customHeight="1" x14ac:dyDescent="0.3">
      <c r="A373" s="696" t="s">
        <v>505</v>
      </c>
      <c r="B373" s="697" t="s">
        <v>506</v>
      </c>
      <c r="C373" s="698" t="s">
        <v>519</v>
      </c>
      <c r="D373" s="699" t="s">
        <v>520</v>
      </c>
      <c r="E373" s="698" t="s">
        <v>2585</v>
      </c>
      <c r="F373" s="699" t="s">
        <v>2586</v>
      </c>
      <c r="G373" s="698" t="s">
        <v>2602</v>
      </c>
      <c r="H373" s="698" t="s">
        <v>2603</v>
      </c>
      <c r="I373" s="701">
        <v>12.579999923706055</v>
      </c>
      <c r="J373" s="701">
        <v>50</v>
      </c>
      <c r="K373" s="702">
        <v>629</v>
      </c>
    </row>
    <row r="374" spans="1:11" ht="14.4" customHeight="1" x14ac:dyDescent="0.3">
      <c r="A374" s="696" t="s">
        <v>505</v>
      </c>
      <c r="B374" s="697" t="s">
        <v>506</v>
      </c>
      <c r="C374" s="698" t="s">
        <v>519</v>
      </c>
      <c r="D374" s="699" t="s">
        <v>520</v>
      </c>
      <c r="E374" s="698" t="s">
        <v>2585</v>
      </c>
      <c r="F374" s="699" t="s">
        <v>2586</v>
      </c>
      <c r="G374" s="698" t="s">
        <v>2604</v>
      </c>
      <c r="H374" s="698" t="s">
        <v>2605</v>
      </c>
      <c r="I374" s="701">
        <v>12.590000152587891</v>
      </c>
      <c r="J374" s="701">
        <v>50</v>
      </c>
      <c r="K374" s="702">
        <v>629.5</v>
      </c>
    </row>
    <row r="375" spans="1:11" ht="14.4" customHeight="1" x14ac:dyDescent="0.3">
      <c r="A375" s="696" t="s">
        <v>505</v>
      </c>
      <c r="B375" s="697" t="s">
        <v>506</v>
      </c>
      <c r="C375" s="698" t="s">
        <v>519</v>
      </c>
      <c r="D375" s="699" t="s">
        <v>520</v>
      </c>
      <c r="E375" s="698" t="s">
        <v>2585</v>
      </c>
      <c r="F375" s="699" t="s">
        <v>2586</v>
      </c>
      <c r="G375" s="698" t="s">
        <v>2593</v>
      </c>
      <c r="H375" s="698" t="s">
        <v>2606</v>
      </c>
      <c r="I375" s="701">
        <v>20.159999847412109</v>
      </c>
      <c r="J375" s="701">
        <v>50</v>
      </c>
      <c r="K375" s="702">
        <v>1007.9299926757812</v>
      </c>
    </row>
    <row r="376" spans="1:11" ht="14.4" customHeight="1" x14ac:dyDescent="0.3">
      <c r="A376" s="696" t="s">
        <v>505</v>
      </c>
      <c r="B376" s="697" t="s">
        <v>506</v>
      </c>
      <c r="C376" s="698" t="s">
        <v>519</v>
      </c>
      <c r="D376" s="699" t="s">
        <v>520</v>
      </c>
      <c r="E376" s="698" t="s">
        <v>2585</v>
      </c>
      <c r="F376" s="699" t="s">
        <v>2586</v>
      </c>
      <c r="G376" s="698" t="s">
        <v>2596</v>
      </c>
      <c r="H376" s="698" t="s">
        <v>2607</v>
      </c>
      <c r="I376" s="701">
        <v>16.204999923706055</v>
      </c>
      <c r="J376" s="701">
        <v>300</v>
      </c>
      <c r="K376" s="702">
        <v>4861.5</v>
      </c>
    </row>
    <row r="377" spans="1:11" ht="14.4" customHeight="1" x14ac:dyDescent="0.3">
      <c r="A377" s="696" t="s">
        <v>505</v>
      </c>
      <c r="B377" s="697" t="s">
        <v>506</v>
      </c>
      <c r="C377" s="698" t="s">
        <v>519</v>
      </c>
      <c r="D377" s="699" t="s">
        <v>520</v>
      </c>
      <c r="E377" s="698" t="s">
        <v>2585</v>
      </c>
      <c r="F377" s="699" t="s">
        <v>2586</v>
      </c>
      <c r="G377" s="698" t="s">
        <v>2598</v>
      </c>
      <c r="H377" s="698" t="s">
        <v>2608</v>
      </c>
      <c r="I377" s="701">
        <v>16.339999771118165</v>
      </c>
      <c r="J377" s="701">
        <v>250</v>
      </c>
      <c r="K377" s="702">
        <v>4085</v>
      </c>
    </row>
    <row r="378" spans="1:11" ht="14.4" customHeight="1" x14ac:dyDescent="0.3">
      <c r="A378" s="696" t="s">
        <v>505</v>
      </c>
      <c r="B378" s="697" t="s">
        <v>506</v>
      </c>
      <c r="C378" s="698" t="s">
        <v>519</v>
      </c>
      <c r="D378" s="699" t="s">
        <v>520</v>
      </c>
      <c r="E378" s="698" t="s">
        <v>2585</v>
      </c>
      <c r="F378" s="699" t="s">
        <v>2586</v>
      </c>
      <c r="G378" s="698" t="s">
        <v>2602</v>
      </c>
      <c r="H378" s="698" t="s">
        <v>2609</v>
      </c>
      <c r="I378" s="701">
        <v>15.770000457763672</v>
      </c>
      <c r="J378" s="701">
        <v>50</v>
      </c>
      <c r="K378" s="702">
        <v>788.5</v>
      </c>
    </row>
    <row r="379" spans="1:11" ht="14.4" customHeight="1" x14ac:dyDescent="0.3">
      <c r="A379" s="696" t="s">
        <v>505</v>
      </c>
      <c r="B379" s="697" t="s">
        <v>506</v>
      </c>
      <c r="C379" s="698" t="s">
        <v>519</v>
      </c>
      <c r="D379" s="699" t="s">
        <v>520</v>
      </c>
      <c r="E379" s="698" t="s">
        <v>2585</v>
      </c>
      <c r="F379" s="699" t="s">
        <v>2586</v>
      </c>
      <c r="G379" s="698" t="s">
        <v>2604</v>
      </c>
      <c r="H379" s="698" t="s">
        <v>2610</v>
      </c>
      <c r="I379" s="701">
        <v>15.399999618530273</v>
      </c>
      <c r="J379" s="701">
        <v>50</v>
      </c>
      <c r="K379" s="702">
        <v>770</v>
      </c>
    </row>
    <row r="380" spans="1:11" ht="14.4" customHeight="1" x14ac:dyDescent="0.3">
      <c r="A380" s="696" t="s">
        <v>505</v>
      </c>
      <c r="B380" s="697" t="s">
        <v>506</v>
      </c>
      <c r="C380" s="698" t="s">
        <v>519</v>
      </c>
      <c r="D380" s="699" t="s">
        <v>520</v>
      </c>
      <c r="E380" s="698" t="s">
        <v>2585</v>
      </c>
      <c r="F380" s="699" t="s">
        <v>2586</v>
      </c>
      <c r="G380" s="698" t="s">
        <v>2600</v>
      </c>
      <c r="H380" s="698" t="s">
        <v>2611</v>
      </c>
      <c r="I380" s="701">
        <v>16.949999809265137</v>
      </c>
      <c r="J380" s="701">
        <v>100</v>
      </c>
      <c r="K380" s="702">
        <v>1695</v>
      </c>
    </row>
    <row r="381" spans="1:11" ht="14.4" customHeight="1" x14ac:dyDescent="0.3">
      <c r="A381" s="696" t="s">
        <v>505</v>
      </c>
      <c r="B381" s="697" t="s">
        <v>506</v>
      </c>
      <c r="C381" s="698" t="s">
        <v>519</v>
      </c>
      <c r="D381" s="699" t="s">
        <v>520</v>
      </c>
      <c r="E381" s="698" t="s">
        <v>2585</v>
      </c>
      <c r="F381" s="699" t="s">
        <v>2586</v>
      </c>
      <c r="G381" s="698" t="s">
        <v>2587</v>
      </c>
      <c r="H381" s="698" t="s">
        <v>2612</v>
      </c>
      <c r="I381" s="701">
        <v>0.62999999523162842</v>
      </c>
      <c r="J381" s="701">
        <v>45000</v>
      </c>
      <c r="K381" s="702">
        <v>28350</v>
      </c>
    </row>
    <row r="382" spans="1:11" ht="14.4" customHeight="1" x14ac:dyDescent="0.3">
      <c r="A382" s="696" t="s">
        <v>505</v>
      </c>
      <c r="B382" s="697" t="s">
        <v>506</v>
      </c>
      <c r="C382" s="698" t="s">
        <v>519</v>
      </c>
      <c r="D382" s="699" t="s">
        <v>520</v>
      </c>
      <c r="E382" s="698" t="s">
        <v>2585</v>
      </c>
      <c r="F382" s="699" t="s">
        <v>2586</v>
      </c>
      <c r="G382" s="698" t="s">
        <v>2589</v>
      </c>
      <c r="H382" s="698" t="s">
        <v>2613</v>
      </c>
      <c r="I382" s="701">
        <v>0.62999999523162842</v>
      </c>
      <c r="J382" s="701">
        <v>140000</v>
      </c>
      <c r="K382" s="702">
        <v>88200</v>
      </c>
    </row>
    <row r="383" spans="1:11" ht="14.4" customHeight="1" x14ac:dyDescent="0.3">
      <c r="A383" s="696" t="s">
        <v>505</v>
      </c>
      <c r="B383" s="697" t="s">
        <v>506</v>
      </c>
      <c r="C383" s="698" t="s">
        <v>519</v>
      </c>
      <c r="D383" s="699" t="s">
        <v>520</v>
      </c>
      <c r="E383" s="698" t="s">
        <v>2585</v>
      </c>
      <c r="F383" s="699" t="s">
        <v>2586</v>
      </c>
      <c r="G383" s="698" t="s">
        <v>2614</v>
      </c>
      <c r="H383" s="698" t="s">
        <v>2615</v>
      </c>
      <c r="I383" s="701">
        <v>0.62999999523162842</v>
      </c>
      <c r="J383" s="701">
        <v>14000</v>
      </c>
      <c r="K383" s="702">
        <v>8820</v>
      </c>
    </row>
    <row r="384" spans="1:11" ht="14.4" customHeight="1" x14ac:dyDescent="0.3">
      <c r="A384" s="696" t="s">
        <v>505</v>
      </c>
      <c r="B384" s="697" t="s">
        <v>506</v>
      </c>
      <c r="C384" s="698" t="s">
        <v>519</v>
      </c>
      <c r="D384" s="699" t="s">
        <v>520</v>
      </c>
      <c r="E384" s="698" t="s">
        <v>2585</v>
      </c>
      <c r="F384" s="699" t="s">
        <v>2586</v>
      </c>
      <c r="G384" s="698" t="s">
        <v>2591</v>
      </c>
      <c r="H384" s="698" t="s">
        <v>2616</v>
      </c>
      <c r="I384" s="701">
        <v>0.62799999713897703</v>
      </c>
      <c r="J384" s="701">
        <v>4930</v>
      </c>
      <c r="K384" s="702">
        <v>3092.2999954223633</v>
      </c>
    </row>
    <row r="385" spans="1:11" ht="14.4" customHeight="1" x14ac:dyDescent="0.3">
      <c r="A385" s="696" t="s">
        <v>505</v>
      </c>
      <c r="B385" s="697" t="s">
        <v>506</v>
      </c>
      <c r="C385" s="698" t="s">
        <v>519</v>
      </c>
      <c r="D385" s="699" t="s">
        <v>520</v>
      </c>
      <c r="E385" s="698" t="s">
        <v>2585</v>
      </c>
      <c r="F385" s="699" t="s">
        <v>2586</v>
      </c>
      <c r="G385" s="698" t="s">
        <v>2589</v>
      </c>
      <c r="H385" s="698" t="s">
        <v>2617</v>
      </c>
      <c r="I385" s="701">
        <v>0.62999999523162842</v>
      </c>
      <c r="J385" s="701">
        <v>20000</v>
      </c>
      <c r="K385" s="702">
        <v>12600</v>
      </c>
    </row>
    <row r="386" spans="1:11" ht="14.4" customHeight="1" x14ac:dyDescent="0.3">
      <c r="A386" s="696" t="s">
        <v>505</v>
      </c>
      <c r="B386" s="697" t="s">
        <v>506</v>
      </c>
      <c r="C386" s="698" t="s">
        <v>519</v>
      </c>
      <c r="D386" s="699" t="s">
        <v>520</v>
      </c>
      <c r="E386" s="698" t="s">
        <v>2618</v>
      </c>
      <c r="F386" s="699" t="s">
        <v>2619</v>
      </c>
      <c r="G386" s="698" t="s">
        <v>2620</v>
      </c>
      <c r="H386" s="698" t="s">
        <v>2621</v>
      </c>
      <c r="I386" s="701">
        <v>319.91000366210937</v>
      </c>
      <c r="J386" s="701">
        <v>160</v>
      </c>
      <c r="K386" s="702">
        <v>51185.9111328125</v>
      </c>
    </row>
    <row r="387" spans="1:11" ht="14.4" customHeight="1" x14ac:dyDescent="0.3">
      <c r="A387" s="696" t="s">
        <v>505</v>
      </c>
      <c r="B387" s="697" t="s">
        <v>506</v>
      </c>
      <c r="C387" s="698" t="s">
        <v>519</v>
      </c>
      <c r="D387" s="699" t="s">
        <v>520</v>
      </c>
      <c r="E387" s="698" t="s">
        <v>2618</v>
      </c>
      <c r="F387" s="699" t="s">
        <v>2619</v>
      </c>
      <c r="G387" s="698" t="s">
        <v>2620</v>
      </c>
      <c r="H387" s="698" t="s">
        <v>2622</v>
      </c>
      <c r="I387" s="701">
        <v>319.91000366210937</v>
      </c>
      <c r="J387" s="701">
        <v>80</v>
      </c>
      <c r="K387" s="702">
        <v>25592.92041015625</v>
      </c>
    </row>
    <row r="388" spans="1:11" ht="14.4" customHeight="1" x14ac:dyDescent="0.3">
      <c r="A388" s="696" t="s">
        <v>505</v>
      </c>
      <c r="B388" s="697" t="s">
        <v>506</v>
      </c>
      <c r="C388" s="698" t="s">
        <v>519</v>
      </c>
      <c r="D388" s="699" t="s">
        <v>520</v>
      </c>
      <c r="E388" s="698" t="s">
        <v>2618</v>
      </c>
      <c r="F388" s="699" t="s">
        <v>2619</v>
      </c>
      <c r="G388" s="698" t="s">
        <v>2623</v>
      </c>
      <c r="H388" s="698" t="s">
        <v>2624</v>
      </c>
      <c r="I388" s="701">
        <v>442.3900146484375</v>
      </c>
      <c r="J388" s="701">
        <v>10</v>
      </c>
      <c r="K388" s="702">
        <v>4423.8798828125</v>
      </c>
    </row>
    <row r="389" spans="1:11" ht="14.4" customHeight="1" x14ac:dyDescent="0.3">
      <c r="A389" s="696" t="s">
        <v>505</v>
      </c>
      <c r="B389" s="697" t="s">
        <v>506</v>
      </c>
      <c r="C389" s="698" t="s">
        <v>519</v>
      </c>
      <c r="D389" s="699" t="s">
        <v>520</v>
      </c>
      <c r="E389" s="698" t="s">
        <v>2618</v>
      </c>
      <c r="F389" s="699" t="s">
        <v>2619</v>
      </c>
      <c r="G389" s="698" t="s">
        <v>2625</v>
      </c>
      <c r="H389" s="698" t="s">
        <v>2626</v>
      </c>
      <c r="I389" s="701">
        <v>435.60000610351562</v>
      </c>
      <c r="J389" s="701">
        <v>10</v>
      </c>
      <c r="K389" s="702">
        <v>4356</v>
      </c>
    </row>
    <row r="390" spans="1:11" ht="14.4" customHeight="1" x14ac:dyDescent="0.3">
      <c r="A390" s="696" t="s">
        <v>505</v>
      </c>
      <c r="B390" s="697" t="s">
        <v>506</v>
      </c>
      <c r="C390" s="698" t="s">
        <v>519</v>
      </c>
      <c r="D390" s="699" t="s">
        <v>520</v>
      </c>
      <c r="E390" s="698" t="s">
        <v>2618</v>
      </c>
      <c r="F390" s="699" t="s">
        <v>2619</v>
      </c>
      <c r="G390" s="698" t="s">
        <v>2627</v>
      </c>
      <c r="H390" s="698" t="s">
        <v>2628</v>
      </c>
      <c r="I390" s="701">
        <v>568.78997802734375</v>
      </c>
      <c r="J390" s="701">
        <v>10</v>
      </c>
      <c r="K390" s="702">
        <v>5687.85009765625</v>
      </c>
    </row>
    <row r="391" spans="1:11" ht="14.4" customHeight="1" x14ac:dyDescent="0.3">
      <c r="A391" s="696" t="s">
        <v>505</v>
      </c>
      <c r="B391" s="697" t="s">
        <v>506</v>
      </c>
      <c r="C391" s="698" t="s">
        <v>519</v>
      </c>
      <c r="D391" s="699" t="s">
        <v>520</v>
      </c>
      <c r="E391" s="698" t="s">
        <v>2618</v>
      </c>
      <c r="F391" s="699" t="s">
        <v>2619</v>
      </c>
      <c r="G391" s="698" t="s">
        <v>2627</v>
      </c>
      <c r="H391" s="698" t="s">
        <v>2629</v>
      </c>
      <c r="I391" s="701">
        <v>568.78855678013394</v>
      </c>
      <c r="J391" s="701">
        <v>90</v>
      </c>
      <c r="K391" s="702">
        <v>51190.64111328125</v>
      </c>
    </row>
    <row r="392" spans="1:11" ht="14.4" customHeight="1" x14ac:dyDescent="0.3">
      <c r="A392" s="696" t="s">
        <v>505</v>
      </c>
      <c r="B392" s="697" t="s">
        <v>506</v>
      </c>
      <c r="C392" s="698" t="s">
        <v>519</v>
      </c>
      <c r="D392" s="699" t="s">
        <v>520</v>
      </c>
      <c r="E392" s="698" t="s">
        <v>2618</v>
      </c>
      <c r="F392" s="699" t="s">
        <v>2619</v>
      </c>
      <c r="G392" s="698" t="s">
        <v>2630</v>
      </c>
      <c r="H392" s="698" t="s">
        <v>2631</v>
      </c>
      <c r="I392" s="701">
        <v>928.20001220703125</v>
      </c>
      <c r="J392" s="701">
        <v>10</v>
      </c>
      <c r="K392" s="702">
        <v>9282.0302734375</v>
      </c>
    </row>
    <row r="393" spans="1:11" ht="14.4" customHeight="1" x14ac:dyDescent="0.3">
      <c r="A393" s="696" t="s">
        <v>505</v>
      </c>
      <c r="B393" s="697" t="s">
        <v>506</v>
      </c>
      <c r="C393" s="698" t="s">
        <v>519</v>
      </c>
      <c r="D393" s="699" t="s">
        <v>520</v>
      </c>
      <c r="E393" s="698" t="s">
        <v>2618</v>
      </c>
      <c r="F393" s="699" t="s">
        <v>2619</v>
      </c>
      <c r="G393" s="698" t="s">
        <v>2630</v>
      </c>
      <c r="H393" s="698" t="s">
        <v>2632</v>
      </c>
      <c r="I393" s="701">
        <v>928.20001220703125</v>
      </c>
      <c r="J393" s="701">
        <v>20</v>
      </c>
      <c r="K393" s="702">
        <v>18564.0302734375</v>
      </c>
    </row>
    <row r="394" spans="1:11" ht="14.4" customHeight="1" x14ac:dyDescent="0.3">
      <c r="A394" s="696" t="s">
        <v>505</v>
      </c>
      <c r="B394" s="697" t="s">
        <v>506</v>
      </c>
      <c r="C394" s="698" t="s">
        <v>519</v>
      </c>
      <c r="D394" s="699" t="s">
        <v>520</v>
      </c>
      <c r="E394" s="698" t="s">
        <v>2618</v>
      </c>
      <c r="F394" s="699" t="s">
        <v>2619</v>
      </c>
      <c r="G394" s="698" t="s">
        <v>2633</v>
      </c>
      <c r="H394" s="698" t="s">
        <v>2634</v>
      </c>
      <c r="I394" s="701">
        <v>1094</v>
      </c>
      <c r="J394" s="701">
        <v>4</v>
      </c>
      <c r="K394" s="702">
        <v>4376</v>
      </c>
    </row>
    <row r="395" spans="1:11" ht="14.4" customHeight="1" x14ac:dyDescent="0.3">
      <c r="A395" s="696" t="s">
        <v>505</v>
      </c>
      <c r="B395" s="697" t="s">
        <v>506</v>
      </c>
      <c r="C395" s="698" t="s">
        <v>519</v>
      </c>
      <c r="D395" s="699" t="s">
        <v>520</v>
      </c>
      <c r="E395" s="698" t="s">
        <v>2618</v>
      </c>
      <c r="F395" s="699" t="s">
        <v>2619</v>
      </c>
      <c r="G395" s="698" t="s">
        <v>2635</v>
      </c>
      <c r="H395" s="698" t="s">
        <v>2636</v>
      </c>
      <c r="I395" s="701">
        <v>5057.7998046875</v>
      </c>
      <c r="J395" s="701">
        <v>3</v>
      </c>
      <c r="K395" s="702">
        <v>15173.3994140625</v>
      </c>
    </row>
    <row r="396" spans="1:11" ht="14.4" customHeight="1" x14ac:dyDescent="0.3">
      <c r="A396" s="696" t="s">
        <v>505</v>
      </c>
      <c r="B396" s="697" t="s">
        <v>506</v>
      </c>
      <c r="C396" s="698" t="s">
        <v>519</v>
      </c>
      <c r="D396" s="699" t="s">
        <v>520</v>
      </c>
      <c r="E396" s="698" t="s">
        <v>2637</v>
      </c>
      <c r="F396" s="699" t="s">
        <v>2638</v>
      </c>
      <c r="G396" s="698" t="s">
        <v>2639</v>
      </c>
      <c r="H396" s="698" t="s">
        <v>2640</v>
      </c>
      <c r="I396" s="701">
        <v>23.4761533003587</v>
      </c>
      <c r="J396" s="701">
        <v>630</v>
      </c>
      <c r="K396" s="702">
        <v>14790.000122070313</v>
      </c>
    </row>
    <row r="397" spans="1:11" ht="14.4" customHeight="1" x14ac:dyDescent="0.3">
      <c r="A397" s="696" t="s">
        <v>505</v>
      </c>
      <c r="B397" s="697" t="s">
        <v>506</v>
      </c>
      <c r="C397" s="698" t="s">
        <v>519</v>
      </c>
      <c r="D397" s="699" t="s">
        <v>520</v>
      </c>
      <c r="E397" s="698" t="s">
        <v>2637</v>
      </c>
      <c r="F397" s="699" t="s">
        <v>2638</v>
      </c>
      <c r="G397" s="698" t="s">
        <v>2641</v>
      </c>
      <c r="H397" s="698" t="s">
        <v>2642</v>
      </c>
      <c r="I397" s="701">
        <v>15.210000038146973</v>
      </c>
      <c r="J397" s="701">
        <v>350</v>
      </c>
      <c r="K397" s="702">
        <v>5322.8698120117187</v>
      </c>
    </row>
    <row r="398" spans="1:11" ht="14.4" customHeight="1" x14ac:dyDescent="0.3">
      <c r="A398" s="696" t="s">
        <v>505</v>
      </c>
      <c r="B398" s="697" t="s">
        <v>506</v>
      </c>
      <c r="C398" s="698" t="s">
        <v>519</v>
      </c>
      <c r="D398" s="699" t="s">
        <v>520</v>
      </c>
      <c r="E398" s="698" t="s">
        <v>2637</v>
      </c>
      <c r="F398" s="699" t="s">
        <v>2638</v>
      </c>
      <c r="G398" s="698" t="s">
        <v>2643</v>
      </c>
      <c r="H398" s="698" t="s">
        <v>2644</v>
      </c>
      <c r="I398" s="701">
        <v>36.850000381469727</v>
      </c>
      <c r="J398" s="701">
        <v>16</v>
      </c>
      <c r="K398" s="702">
        <v>589.57999420166016</v>
      </c>
    </row>
    <row r="399" spans="1:11" ht="14.4" customHeight="1" x14ac:dyDescent="0.3">
      <c r="A399" s="696" t="s">
        <v>505</v>
      </c>
      <c r="B399" s="697" t="s">
        <v>506</v>
      </c>
      <c r="C399" s="698" t="s">
        <v>519</v>
      </c>
      <c r="D399" s="699" t="s">
        <v>520</v>
      </c>
      <c r="E399" s="698" t="s">
        <v>2637</v>
      </c>
      <c r="F399" s="699" t="s">
        <v>2638</v>
      </c>
      <c r="G399" s="698" t="s">
        <v>2645</v>
      </c>
      <c r="H399" s="698" t="s">
        <v>2646</v>
      </c>
      <c r="I399" s="701">
        <v>36.830001831054687</v>
      </c>
      <c r="J399" s="701">
        <v>11</v>
      </c>
      <c r="K399" s="702">
        <v>405.16000366210937</v>
      </c>
    </row>
    <row r="400" spans="1:11" ht="14.4" customHeight="1" x14ac:dyDescent="0.3">
      <c r="A400" s="696" t="s">
        <v>505</v>
      </c>
      <c r="B400" s="697" t="s">
        <v>506</v>
      </c>
      <c r="C400" s="698" t="s">
        <v>519</v>
      </c>
      <c r="D400" s="699" t="s">
        <v>520</v>
      </c>
      <c r="E400" s="698" t="s">
        <v>2637</v>
      </c>
      <c r="F400" s="699" t="s">
        <v>2638</v>
      </c>
      <c r="G400" s="698" t="s">
        <v>2647</v>
      </c>
      <c r="H400" s="698" t="s">
        <v>2648</v>
      </c>
      <c r="I400" s="701">
        <v>36.830001831054687</v>
      </c>
      <c r="J400" s="701">
        <v>8</v>
      </c>
      <c r="K400" s="702">
        <v>294.66000366210937</v>
      </c>
    </row>
    <row r="401" spans="1:11" ht="14.4" customHeight="1" x14ac:dyDescent="0.3">
      <c r="A401" s="696" t="s">
        <v>505</v>
      </c>
      <c r="B401" s="697" t="s">
        <v>506</v>
      </c>
      <c r="C401" s="698" t="s">
        <v>519</v>
      </c>
      <c r="D401" s="699" t="s">
        <v>520</v>
      </c>
      <c r="E401" s="698" t="s">
        <v>2637</v>
      </c>
      <c r="F401" s="699" t="s">
        <v>2638</v>
      </c>
      <c r="G401" s="698" t="s">
        <v>2649</v>
      </c>
      <c r="H401" s="698" t="s">
        <v>2650</v>
      </c>
      <c r="I401" s="701">
        <v>19.964999198913574</v>
      </c>
      <c r="J401" s="701">
        <v>1300</v>
      </c>
      <c r="K401" s="702">
        <v>25954.5</v>
      </c>
    </row>
    <row r="402" spans="1:11" ht="14.4" customHeight="1" x14ac:dyDescent="0.3">
      <c r="A402" s="696" t="s">
        <v>505</v>
      </c>
      <c r="B402" s="697" t="s">
        <v>506</v>
      </c>
      <c r="C402" s="698" t="s">
        <v>519</v>
      </c>
      <c r="D402" s="699" t="s">
        <v>520</v>
      </c>
      <c r="E402" s="698" t="s">
        <v>2637</v>
      </c>
      <c r="F402" s="699" t="s">
        <v>2638</v>
      </c>
      <c r="G402" s="698" t="s">
        <v>2651</v>
      </c>
      <c r="H402" s="698" t="s">
        <v>2652</v>
      </c>
      <c r="I402" s="701">
        <v>209.3699951171875</v>
      </c>
      <c r="J402" s="701">
        <v>1</v>
      </c>
      <c r="K402" s="702">
        <v>209.3699951171875</v>
      </c>
    </row>
    <row r="403" spans="1:11" ht="14.4" customHeight="1" x14ac:dyDescent="0.3">
      <c r="A403" s="696" t="s">
        <v>505</v>
      </c>
      <c r="B403" s="697" t="s">
        <v>506</v>
      </c>
      <c r="C403" s="698" t="s">
        <v>519</v>
      </c>
      <c r="D403" s="699" t="s">
        <v>520</v>
      </c>
      <c r="E403" s="698" t="s">
        <v>2637</v>
      </c>
      <c r="F403" s="699" t="s">
        <v>2638</v>
      </c>
      <c r="G403" s="698" t="s">
        <v>2653</v>
      </c>
      <c r="H403" s="698" t="s">
        <v>2654</v>
      </c>
      <c r="I403" s="701">
        <v>209.3699951171875</v>
      </c>
      <c r="J403" s="701">
        <v>1</v>
      </c>
      <c r="K403" s="702">
        <v>209.3699951171875</v>
      </c>
    </row>
    <row r="404" spans="1:11" ht="14.4" customHeight="1" x14ac:dyDescent="0.3">
      <c r="A404" s="696" t="s">
        <v>505</v>
      </c>
      <c r="B404" s="697" t="s">
        <v>506</v>
      </c>
      <c r="C404" s="698" t="s">
        <v>519</v>
      </c>
      <c r="D404" s="699" t="s">
        <v>520</v>
      </c>
      <c r="E404" s="698" t="s">
        <v>2637</v>
      </c>
      <c r="F404" s="699" t="s">
        <v>2638</v>
      </c>
      <c r="G404" s="698" t="s">
        <v>2655</v>
      </c>
      <c r="H404" s="698" t="s">
        <v>2656</v>
      </c>
      <c r="I404" s="701">
        <v>154.8800048828125</v>
      </c>
      <c r="J404" s="701">
        <v>180</v>
      </c>
      <c r="K404" s="702">
        <v>27878.39990234375</v>
      </c>
    </row>
    <row r="405" spans="1:11" ht="14.4" customHeight="1" x14ac:dyDescent="0.3">
      <c r="A405" s="696" t="s">
        <v>505</v>
      </c>
      <c r="B405" s="697" t="s">
        <v>506</v>
      </c>
      <c r="C405" s="698" t="s">
        <v>519</v>
      </c>
      <c r="D405" s="699" t="s">
        <v>520</v>
      </c>
      <c r="E405" s="698" t="s">
        <v>2637</v>
      </c>
      <c r="F405" s="699" t="s">
        <v>2638</v>
      </c>
      <c r="G405" s="698" t="s">
        <v>2657</v>
      </c>
      <c r="H405" s="698" t="s">
        <v>2658</v>
      </c>
      <c r="I405" s="701">
        <v>21.719999313354492</v>
      </c>
      <c r="J405" s="701">
        <v>30</v>
      </c>
      <c r="K405" s="702">
        <v>651.71002197265625</v>
      </c>
    </row>
    <row r="406" spans="1:11" ht="14.4" customHeight="1" x14ac:dyDescent="0.3">
      <c r="A406" s="696" t="s">
        <v>505</v>
      </c>
      <c r="B406" s="697" t="s">
        <v>506</v>
      </c>
      <c r="C406" s="698" t="s">
        <v>519</v>
      </c>
      <c r="D406" s="699" t="s">
        <v>520</v>
      </c>
      <c r="E406" s="698" t="s">
        <v>2637</v>
      </c>
      <c r="F406" s="699" t="s">
        <v>2638</v>
      </c>
      <c r="G406" s="698" t="s">
        <v>2659</v>
      </c>
      <c r="H406" s="698" t="s">
        <v>2660</v>
      </c>
      <c r="I406" s="701">
        <v>50.601665496826172</v>
      </c>
      <c r="J406" s="701">
        <v>500</v>
      </c>
      <c r="K406" s="702">
        <v>25301.250732421875</v>
      </c>
    </row>
    <row r="407" spans="1:11" ht="14.4" customHeight="1" x14ac:dyDescent="0.3">
      <c r="A407" s="696" t="s">
        <v>505</v>
      </c>
      <c r="B407" s="697" t="s">
        <v>506</v>
      </c>
      <c r="C407" s="698" t="s">
        <v>519</v>
      </c>
      <c r="D407" s="699" t="s">
        <v>520</v>
      </c>
      <c r="E407" s="698" t="s">
        <v>2637</v>
      </c>
      <c r="F407" s="699" t="s">
        <v>2638</v>
      </c>
      <c r="G407" s="698" t="s">
        <v>2661</v>
      </c>
      <c r="H407" s="698" t="s">
        <v>2662</v>
      </c>
      <c r="I407" s="701">
        <v>1045.43994140625</v>
      </c>
      <c r="J407" s="701">
        <v>5</v>
      </c>
      <c r="K407" s="702">
        <v>5227.2001953125</v>
      </c>
    </row>
    <row r="408" spans="1:11" ht="14.4" customHeight="1" x14ac:dyDescent="0.3">
      <c r="A408" s="696" t="s">
        <v>505</v>
      </c>
      <c r="B408" s="697" t="s">
        <v>506</v>
      </c>
      <c r="C408" s="698" t="s">
        <v>519</v>
      </c>
      <c r="D408" s="699" t="s">
        <v>520</v>
      </c>
      <c r="E408" s="698" t="s">
        <v>2637</v>
      </c>
      <c r="F408" s="699" t="s">
        <v>2638</v>
      </c>
      <c r="G408" s="698" t="s">
        <v>2663</v>
      </c>
      <c r="H408" s="698" t="s">
        <v>2664</v>
      </c>
      <c r="I408" s="701">
        <v>101.63999938964844</v>
      </c>
      <c r="J408" s="701">
        <v>25</v>
      </c>
      <c r="K408" s="702">
        <v>2541</v>
      </c>
    </row>
    <row r="409" spans="1:11" ht="14.4" customHeight="1" x14ac:dyDescent="0.3">
      <c r="A409" s="696" t="s">
        <v>505</v>
      </c>
      <c r="B409" s="697" t="s">
        <v>506</v>
      </c>
      <c r="C409" s="698" t="s">
        <v>519</v>
      </c>
      <c r="D409" s="699" t="s">
        <v>520</v>
      </c>
      <c r="E409" s="698" t="s">
        <v>2637</v>
      </c>
      <c r="F409" s="699" t="s">
        <v>2638</v>
      </c>
      <c r="G409" s="698" t="s">
        <v>2665</v>
      </c>
      <c r="H409" s="698" t="s">
        <v>2666</v>
      </c>
      <c r="I409" s="701">
        <v>440.44000244140625</v>
      </c>
      <c r="J409" s="701">
        <v>120</v>
      </c>
      <c r="K409" s="702">
        <v>52852.798828125</v>
      </c>
    </row>
    <row r="410" spans="1:11" ht="14.4" customHeight="1" x14ac:dyDescent="0.3">
      <c r="A410" s="696" t="s">
        <v>505</v>
      </c>
      <c r="B410" s="697" t="s">
        <v>506</v>
      </c>
      <c r="C410" s="698" t="s">
        <v>519</v>
      </c>
      <c r="D410" s="699" t="s">
        <v>520</v>
      </c>
      <c r="E410" s="698" t="s">
        <v>2637</v>
      </c>
      <c r="F410" s="699" t="s">
        <v>2638</v>
      </c>
      <c r="G410" s="698" t="s">
        <v>2667</v>
      </c>
      <c r="H410" s="698" t="s">
        <v>2668</v>
      </c>
      <c r="I410" s="701">
        <v>277.46229905348559</v>
      </c>
      <c r="J410" s="701">
        <v>210</v>
      </c>
      <c r="K410" s="702">
        <v>57946.90185546875</v>
      </c>
    </row>
    <row r="411" spans="1:11" ht="14.4" customHeight="1" x14ac:dyDescent="0.3">
      <c r="A411" s="696" t="s">
        <v>505</v>
      </c>
      <c r="B411" s="697" t="s">
        <v>506</v>
      </c>
      <c r="C411" s="698" t="s">
        <v>519</v>
      </c>
      <c r="D411" s="699" t="s">
        <v>520</v>
      </c>
      <c r="E411" s="698" t="s">
        <v>2637</v>
      </c>
      <c r="F411" s="699" t="s">
        <v>2638</v>
      </c>
      <c r="G411" s="698" t="s">
        <v>2669</v>
      </c>
      <c r="H411" s="698" t="s">
        <v>2670</v>
      </c>
      <c r="I411" s="701">
        <v>511.82998657226562</v>
      </c>
      <c r="J411" s="701">
        <v>40</v>
      </c>
      <c r="K411" s="702">
        <v>20473.19921875</v>
      </c>
    </row>
    <row r="412" spans="1:11" ht="14.4" customHeight="1" x14ac:dyDescent="0.3">
      <c r="A412" s="696" t="s">
        <v>505</v>
      </c>
      <c r="B412" s="697" t="s">
        <v>506</v>
      </c>
      <c r="C412" s="698" t="s">
        <v>519</v>
      </c>
      <c r="D412" s="699" t="s">
        <v>520</v>
      </c>
      <c r="E412" s="698" t="s">
        <v>2671</v>
      </c>
      <c r="F412" s="699" t="s">
        <v>2672</v>
      </c>
      <c r="G412" s="698" t="s">
        <v>2673</v>
      </c>
      <c r="H412" s="698" t="s">
        <v>2674</v>
      </c>
      <c r="I412" s="701">
        <v>4368.43017578125</v>
      </c>
      <c r="J412" s="701">
        <v>5</v>
      </c>
      <c r="K412" s="702">
        <v>21842.130859375</v>
      </c>
    </row>
    <row r="413" spans="1:11" ht="14.4" customHeight="1" x14ac:dyDescent="0.3">
      <c r="A413" s="696" t="s">
        <v>505</v>
      </c>
      <c r="B413" s="697" t="s">
        <v>506</v>
      </c>
      <c r="C413" s="698" t="s">
        <v>519</v>
      </c>
      <c r="D413" s="699" t="s">
        <v>520</v>
      </c>
      <c r="E413" s="698" t="s">
        <v>2671</v>
      </c>
      <c r="F413" s="699" t="s">
        <v>2672</v>
      </c>
      <c r="G413" s="698" t="s">
        <v>2675</v>
      </c>
      <c r="H413" s="698" t="s">
        <v>2676</v>
      </c>
      <c r="I413" s="701">
        <v>5526.0498046875</v>
      </c>
      <c r="J413" s="701">
        <v>1</v>
      </c>
      <c r="K413" s="702">
        <v>5526.0498046875</v>
      </c>
    </row>
    <row r="414" spans="1:11" ht="14.4" customHeight="1" x14ac:dyDescent="0.3">
      <c r="A414" s="696" t="s">
        <v>505</v>
      </c>
      <c r="B414" s="697" t="s">
        <v>506</v>
      </c>
      <c r="C414" s="698" t="s">
        <v>519</v>
      </c>
      <c r="D414" s="699" t="s">
        <v>520</v>
      </c>
      <c r="E414" s="698" t="s">
        <v>2671</v>
      </c>
      <c r="F414" s="699" t="s">
        <v>2672</v>
      </c>
      <c r="G414" s="698" t="s">
        <v>2677</v>
      </c>
      <c r="H414" s="698" t="s">
        <v>2678</v>
      </c>
      <c r="I414" s="701">
        <v>303.39999389648437</v>
      </c>
      <c r="J414" s="701">
        <v>10</v>
      </c>
      <c r="K414" s="702">
        <v>3034</v>
      </c>
    </row>
    <row r="415" spans="1:11" ht="14.4" customHeight="1" thickBot="1" x14ac:dyDescent="0.35">
      <c r="A415" s="703" t="s">
        <v>505</v>
      </c>
      <c r="B415" s="704" t="s">
        <v>506</v>
      </c>
      <c r="C415" s="705" t="s">
        <v>519</v>
      </c>
      <c r="D415" s="706" t="s">
        <v>520</v>
      </c>
      <c r="E415" s="705" t="s">
        <v>2671</v>
      </c>
      <c r="F415" s="706" t="s">
        <v>2672</v>
      </c>
      <c r="G415" s="705" t="s">
        <v>2677</v>
      </c>
      <c r="H415" s="705" t="s">
        <v>2679</v>
      </c>
      <c r="I415" s="708">
        <v>303.39999389648437</v>
      </c>
      <c r="J415" s="708">
        <v>10</v>
      </c>
      <c r="K415" s="709">
        <v>3034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47" customWidth="1"/>
    <col min="18" max="18" width="7.33203125" style="429" customWidth="1"/>
    <col min="19" max="19" width="8" style="347" customWidth="1"/>
    <col min="21" max="21" width="11.21875" bestFit="1" customWidth="1"/>
  </cols>
  <sheetData>
    <row r="1" spans="1:19" ht="18.600000000000001" thickBot="1" x14ac:dyDescent="0.4">
      <c r="A1" s="537" t="s">
        <v>116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</row>
    <row r="2" spans="1:19" ht="15" thickBot="1" x14ac:dyDescent="0.35">
      <c r="A2" s="348" t="s">
        <v>297</v>
      </c>
      <c r="B2" s="349"/>
    </row>
    <row r="3" spans="1:19" x14ac:dyDescent="0.3">
      <c r="A3" s="551" t="s">
        <v>209</v>
      </c>
      <c r="B3" s="552"/>
      <c r="C3" s="553" t="s">
        <v>198</v>
      </c>
      <c r="D3" s="554"/>
      <c r="E3" s="554"/>
      <c r="F3" s="555"/>
      <c r="G3" s="556" t="s">
        <v>199</v>
      </c>
      <c r="H3" s="557"/>
      <c r="I3" s="557"/>
      <c r="J3" s="558"/>
      <c r="K3" s="559" t="s">
        <v>208</v>
      </c>
      <c r="L3" s="560"/>
      <c r="M3" s="560"/>
      <c r="N3" s="560"/>
      <c r="O3" s="561"/>
      <c r="P3" s="557" t="s">
        <v>268</v>
      </c>
      <c r="Q3" s="557"/>
      <c r="R3" s="557"/>
      <c r="S3" s="558"/>
    </row>
    <row r="4" spans="1:19" ht="15" thickBot="1" x14ac:dyDescent="0.35">
      <c r="A4" s="570">
        <v>2018</v>
      </c>
      <c r="B4" s="571"/>
      <c r="C4" s="572" t="s">
        <v>267</v>
      </c>
      <c r="D4" s="574" t="s">
        <v>117</v>
      </c>
      <c r="E4" s="574" t="s">
        <v>82</v>
      </c>
      <c r="F4" s="549" t="s">
        <v>55</v>
      </c>
      <c r="G4" s="564" t="s">
        <v>200</v>
      </c>
      <c r="H4" s="566" t="s">
        <v>204</v>
      </c>
      <c r="I4" s="566" t="s">
        <v>266</v>
      </c>
      <c r="J4" s="568" t="s">
        <v>201</v>
      </c>
      <c r="K4" s="546" t="s">
        <v>265</v>
      </c>
      <c r="L4" s="547"/>
      <c r="M4" s="547"/>
      <c r="N4" s="548"/>
      <c r="O4" s="549" t="s">
        <v>264</v>
      </c>
      <c r="P4" s="538" t="s">
        <v>263</v>
      </c>
      <c r="Q4" s="538" t="s">
        <v>211</v>
      </c>
      <c r="R4" s="540" t="s">
        <v>82</v>
      </c>
      <c r="S4" s="542" t="s">
        <v>210</v>
      </c>
    </row>
    <row r="5" spans="1:19" s="464" customFormat="1" ht="19.2" customHeight="1" x14ac:dyDescent="0.3">
      <c r="A5" s="544" t="s">
        <v>262</v>
      </c>
      <c r="B5" s="545"/>
      <c r="C5" s="573"/>
      <c r="D5" s="575"/>
      <c r="E5" s="575"/>
      <c r="F5" s="550"/>
      <c r="G5" s="565"/>
      <c r="H5" s="567"/>
      <c r="I5" s="567"/>
      <c r="J5" s="569"/>
      <c r="K5" s="467" t="s">
        <v>202</v>
      </c>
      <c r="L5" s="466" t="s">
        <v>203</v>
      </c>
      <c r="M5" s="466" t="s">
        <v>261</v>
      </c>
      <c r="N5" s="465" t="s">
        <v>3</v>
      </c>
      <c r="O5" s="550"/>
      <c r="P5" s="539"/>
      <c r="Q5" s="539"/>
      <c r="R5" s="541"/>
      <c r="S5" s="543"/>
    </row>
    <row r="6" spans="1:19" ht="15" thickBot="1" x14ac:dyDescent="0.35">
      <c r="A6" s="562" t="s">
        <v>197</v>
      </c>
      <c r="B6" s="563"/>
      <c r="C6" s="463">
        <f ca="1">SUM(Tabulka[01 uv_sk])/2</f>
        <v>62.474999999999994</v>
      </c>
      <c r="D6" s="461"/>
      <c r="E6" s="461"/>
      <c r="F6" s="460"/>
      <c r="G6" s="462">
        <f ca="1">SUM(Tabulka[05 h_vram])/2</f>
        <v>101393.59999999999</v>
      </c>
      <c r="H6" s="461">
        <f ca="1">SUM(Tabulka[06 h_naduv])/2</f>
        <v>8122.55</v>
      </c>
      <c r="I6" s="461">
        <f ca="1">SUM(Tabulka[07 h_nadzk])/2</f>
        <v>2154.98</v>
      </c>
      <c r="J6" s="460">
        <f ca="1">SUM(Tabulka[08 h_oon])/2</f>
        <v>240</v>
      </c>
      <c r="K6" s="462">
        <f ca="1">SUM(Tabulka[09 m_kl])/2</f>
        <v>0</v>
      </c>
      <c r="L6" s="461">
        <f ca="1">SUM(Tabulka[10 m_gr])/2</f>
        <v>0</v>
      </c>
      <c r="M6" s="461">
        <f ca="1">SUM(Tabulka[11 m_jo])/2</f>
        <v>2091524</v>
      </c>
      <c r="N6" s="461">
        <f ca="1">SUM(Tabulka[12 m_oc])/2</f>
        <v>2091524</v>
      </c>
      <c r="O6" s="460">
        <f ca="1">SUM(Tabulka[13 m_sk])/2</f>
        <v>39957151</v>
      </c>
      <c r="P6" s="459">
        <f ca="1">SUM(Tabulka[14_vzsk])/2</f>
        <v>32639</v>
      </c>
      <c r="Q6" s="459">
        <f ca="1">SUM(Tabulka[15_vzpl])/2</f>
        <v>83096.643148778167</v>
      </c>
      <c r="R6" s="458">
        <f ca="1">IF(Q6=0,0,P6/Q6)</f>
        <v>0.39278361631964331</v>
      </c>
      <c r="S6" s="457">
        <f ca="1">Q6-P6</f>
        <v>50457.643148778167</v>
      </c>
    </row>
    <row r="7" spans="1:19" hidden="1" x14ac:dyDescent="0.3">
      <c r="A7" s="456" t="s">
        <v>260</v>
      </c>
      <c r="B7" s="455" t="s">
        <v>259</v>
      </c>
      <c r="C7" s="454" t="s">
        <v>258</v>
      </c>
      <c r="D7" s="453" t="s">
        <v>257</v>
      </c>
      <c r="E7" s="452" t="s">
        <v>256</v>
      </c>
      <c r="F7" s="451" t="s">
        <v>255</v>
      </c>
      <c r="G7" s="450" t="s">
        <v>254</v>
      </c>
      <c r="H7" s="448" t="s">
        <v>253</v>
      </c>
      <c r="I7" s="448" t="s">
        <v>252</v>
      </c>
      <c r="J7" s="447" t="s">
        <v>251</v>
      </c>
      <c r="K7" s="449" t="s">
        <v>250</v>
      </c>
      <c r="L7" s="448" t="s">
        <v>249</v>
      </c>
      <c r="M7" s="448" t="s">
        <v>248</v>
      </c>
      <c r="N7" s="447" t="s">
        <v>247</v>
      </c>
      <c r="O7" s="446" t="s">
        <v>246</v>
      </c>
      <c r="P7" s="445" t="s">
        <v>245</v>
      </c>
      <c r="Q7" s="444" t="s">
        <v>244</v>
      </c>
      <c r="R7" s="443" t="s">
        <v>243</v>
      </c>
      <c r="S7" s="442" t="s">
        <v>242</v>
      </c>
    </row>
    <row r="8" spans="1:19" x14ac:dyDescent="0.3">
      <c r="A8" s="439" t="s">
        <v>241</v>
      </c>
      <c r="B8" s="438"/>
      <c r="C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8.6</v>
      </c>
      <c r="D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14842.24</v>
      </c>
      <c r="H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1384</v>
      </c>
      <c r="I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</v>
      </c>
      <c r="J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680007</v>
      </c>
      <c r="N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680007</v>
      </c>
      <c r="O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9726724</v>
      </c>
      <c r="P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14610</v>
      </c>
      <c r="Q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23096.643148778167</v>
      </c>
      <c r="R8" s="441">
        <f ca="1">IF(Tabulka[[#This Row],[15_vzpl]]=0,"",Tabulka[[#This Row],[14_vzsk]]/Tabulka[[#This Row],[15_vzpl]])</f>
        <v>0.63255945489086718</v>
      </c>
      <c r="S8" s="440">
        <f ca="1">IF(Tabulka[[#This Row],[15_vzpl]]-Tabulka[[#This Row],[14_vzsk]]=0,"",Tabulka[[#This Row],[15_vzpl]]-Tabulka[[#This Row],[14_vzsk]])</f>
        <v>8486.6431487781665</v>
      </c>
    </row>
    <row r="9" spans="1:19" x14ac:dyDescent="0.3">
      <c r="A9" s="439">
        <v>99</v>
      </c>
      <c r="B9" s="438" t="s">
        <v>2696</v>
      </c>
      <c r="C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14610</v>
      </c>
      <c r="Q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23096.643148778167</v>
      </c>
      <c r="R9" s="441">
        <f ca="1">IF(Tabulka[[#This Row],[15_vzpl]]=0,"",Tabulka[[#This Row],[14_vzsk]]/Tabulka[[#This Row],[15_vzpl]])</f>
        <v>0.63255945489086718</v>
      </c>
      <c r="S9" s="440">
        <f ca="1">IF(Tabulka[[#This Row],[15_vzpl]]-Tabulka[[#This Row],[14_vzsk]]=0,"",Tabulka[[#This Row],[15_vzpl]]-Tabulka[[#This Row],[14_vzsk]])</f>
        <v>8486.6431487781665</v>
      </c>
    </row>
    <row r="10" spans="1:19" x14ac:dyDescent="0.3">
      <c r="A10" s="439">
        <v>100</v>
      </c>
      <c r="B10" s="438" t="s">
        <v>2697</v>
      </c>
      <c r="C10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597</v>
      </c>
      <c r="H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</v>
      </c>
      <c r="I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268208</v>
      </c>
      <c r="P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41" t="str">
        <f ca="1">IF(Tabulka[[#This Row],[15_vzpl]]=0,"",Tabulka[[#This Row],[14_vzsk]]/Tabulka[[#This Row],[15_vzpl]])</f>
        <v/>
      </c>
      <c r="S10" s="440" t="str">
        <f ca="1">IF(Tabulka[[#This Row],[15_vzpl]]-Tabulka[[#This Row],[14_vzsk]]=0,"",Tabulka[[#This Row],[15_vzpl]]-Tabulka[[#This Row],[14_vzsk]])</f>
        <v/>
      </c>
    </row>
    <row r="11" spans="1:19" x14ac:dyDescent="0.3">
      <c r="A11" s="439">
        <v>101</v>
      </c>
      <c r="B11" s="438" t="s">
        <v>2698</v>
      </c>
      <c r="C11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8.1</v>
      </c>
      <c r="D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14245.24</v>
      </c>
      <c r="H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1283</v>
      </c>
      <c r="I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</v>
      </c>
      <c r="J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680007</v>
      </c>
      <c r="N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680007</v>
      </c>
      <c r="O11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9458516</v>
      </c>
      <c r="P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41" t="str">
        <f ca="1">IF(Tabulka[[#This Row],[15_vzpl]]=0,"",Tabulka[[#This Row],[14_vzsk]]/Tabulka[[#This Row],[15_vzpl]])</f>
        <v/>
      </c>
      <c r="S11" s="440" t="str">
        <f ca="1">IF(Tabulka[[#This Row],[15_vzpl]]-Tabulka[[#This Row],[14_vzsk]]=0,"",Tabulka[[#This Row],[15_vzpl]]-Tabulka[[#This Row],[14_vzsk]])</f>
        <v/>
      </c>
    </row>
    <row r="12" spans="1:19" x14ac:dyDescent="0.3">
      <c r="A12" s="439" t="s">
        <v>2681</v>
      </c>
      <c r="B12" s="438"/>
      <c r="C12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52.875</v>
      </c>
      <c r="D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84647.360000000001</v>
      </c>
      <c r="H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6738.5499999999993</v>
      </c>
      <c r="I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2095.98</v>
      </c>
      <c r="J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</v>
      </c>
      <c r="K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1394790</v>
      </c>
      <c r="N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1394790</v>
      </c>
      <c r="O12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29849529</v>
      </c>
      <c r="P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18029</v>
      </c>
      <c r="Q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60000</v>
      </c>
      <c r="R12" s="441">
        <f ca="1">IF(Tabulka[[#This Row],[15_vzpl]]=0,"",Tabulka[[#This Row],[14_vzsk]]/Tabulka[[#This Row],[15_vzpl]])</f>
        <v>0.30048333333333332</v>
      </c>
      <c r="S12" s="440">
        <f ca="1">IF(Tabulka[[#This Row],[15_vzpl]]-Tabulka[[#This Row],[14_vzsk]]=0,"",Tabulka[[#This Row],[15_vzpl]]-Tabulka[[#This Row],[14_vzsk]])</f>
        <v>41971</v>
      </c>
    </row>
    <row r="13" spans="1:19" x14ac:dyDescent="0.3">
      <c r="A13" s="439">
        <v>303</v>
      </c>
      <c r="B13" s="438" t="s">
        <v>2699</v>
      </c>
      <c r="C13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10.020833333333334</v>
      </c>
      <c r="D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15330.89</v>
      </c>
      <c r="H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1075.5</v>
      </c>
      <c r="I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369.39000000000004</v>
      </c>
      <c r="J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165986</v>
      </c>
      <c r="N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165986</v>
      </c>
      <c r="O13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4266056</v>
      </c>
      <c r="P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18029</v>
      </c>
      <c r="Q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60000</v>
      </c>
      <c r="R13" s="441">
        <f ca="1">IF(Tabulka[[#This Row],[15_vzpl]]=0,"",Tabulka[[#This Row],[14_vzsk]]/Tabulka[[#This Row],[15_vzpl]])</f>
        <v>0.30048333333333332</v>
      </c>
      <c r="S13" s="440">
        <f ca="1">IF(Tabulka[[#This Row],[15_vzpl]]-Tabulka[[#This Row],[14_vzsk]]=0,"",Tabulka[[#This Row],[15_vzpl]]-Tabulka[[#This Row],[14_vzsk]])</f>
        <v>41971</v>
      </c>
    </row>
    <row r="14" spans="1:19" x14ac:dyDescent="0.3">
      <c r="A14" s="439">
        <v>304</v>
      </c>
      <c r="B14" s="438" t="s">
        <v>2700</v>
      </c>
      <c r="C14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23.458333333333332</v>
      </c>
      <c r="D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38769.719999999994</v>
      </c>
      <c r="H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2924.52</v>
      </c>
      <c r="I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1234.98</v>
      </c>
      <c r="J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</v>
      </c>
      <c r="K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666380</v>
      </c>
      <c r="N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666380</v>
      </c>
      <c r="O14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14913216</v>
      </c>
      <c r="P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41" t="str">
        <f ca="1">IF(Tabulka[[#This Row],[15_vzpl]]=0,"",Tabulka[[#This Row],[14_vzsk]]/Tabulka[[#This Row],[15_vzpl]])</f>
        <v/>
      </c>
      <c r="S14" s="440" t="str">
        <f ca="1">IF(Tabulka[[#This Row],[15_vzpl]]-Tabulka[[#This Row],[14_vzsk]]=0,"",Tabulka[[#This Row],[15_vzpl]]-Tabulka[[#This Row],[14_vzsk]])</f>
        <v/>
      </c>
    </row>
    <row r="15" spans="1:19" x14ac:dyDescent="0.3">
      <c r="A15" s="439">
        <v>305</v>
      </c>
      <c r="B15" s="438" t="s">
        <v>2701</v>
      </c>
      <c r="C15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12.645833333333334</v>
      </c>
      <c r="D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19084.749999999996</v>
      </c>
      <c r="H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1347.03</v>
      </c>
      <c r="I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491.61000000000007</v>
      </c>
      <c r="J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433518</v>
      </c>
      <c r="N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433518</v>
      </c>
      <c r="O15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7749421</v>
      </c>
      <c r="P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41" t="str">
        <f ca="1">IF(Tabulka[[#This Row],[15_vzpl]]=0,"",Tabulka[[#This Row],[14_vzsk]]/Tabulka[[#This Row],[15_vzpl]])</f>
        <v/>
      </c>
      <c r="S15" s="440" t="str">
        <f ca="1">IF(Tabulka[[#This Row],[15_vzpl]]-Tabulka[[#This Row],[14_vzsk]]=0,"",Tabulka[[#This Row],[15_vzpl]]-Tabulka[[#This Row],[14_vzsk]])</f>
        <v/>
      </c>
    </row>
    <row r="16" spans="1:19" x14ac:dyDescent="0.3">
      <c r="A16" s="439">
        <v>636</v>
      </c>
      <c r="B16" s="438" t="s">
        <v>2702</v>
      </c>
      <c r="C16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4882.5</v>
      </c>
      <c r="H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622.5</v>
      </c>
      <c r="I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58368</v>
      </c>
      <c r="N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58368</v>
      </c>
      <c r="O16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1379305</v>
      </c>
      <c r="P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41" t="str">
        <f ca="1">IF(Tabulka[[#This Row],[15_vzpl]]=0,"",Tabulka[[#This Row],[14_vzsk]]/Tabulka[[#This Row],[15_vzpl]])</f>
        <v/>
      </c>
      <c r="S16" s="440" t="str">
        <f ca="1">IF(Tabulka[[#This Row],[15_vzpl]]-Tabulka[[#This Row],[14_vzsk]]=0,"",Tabulka[[#This Row],[15_vzpl]]-Tabulka[[#This Row],[14_vzsk]])</f>
        <v/>
      </c>
    </row>
    <row r="17" spans="1:19" x14ac:dyDescent="0.3">
      <c r="A17" s="439">
        <v>642</v>
      </c>
      <c r="B17" s="438" t="s">
        <v>2703</v>
      </c>
      <c r="C17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3.75</v>
      </c>
      <c r="D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6579.5</v>
      </c>
      <c r="H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769</v>
      </c>
      <c r="I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70538</v>
      </c>
      <c r="N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70538</v>
      </c>
      <c r="O17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1541531</v>
      </c>
      <c r="P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41" t="str">
        <f ca="1">IF(Tabulka[[#This Row],[15_vzpl]]=0,"",Tabulka[[#This Row],[14_vzsk]]/Tabulka[[#This Row],[15_vzpl]])</f>
        <v/>
      </c>
      <c r="S17" s="440" t="str">
        <f ca="1">IF(Tabulka[[#This Row],[15_vzpl]]-Tabulka[[#This Row],[14_vzsk]]=0,"",Tabulka[[#This Row],[15_vzpl]]-Tabulka[[#This Row],[14_vzsk]])</f>
        <v/>
      </c>
    </row>
    <row r="18" spans="1:19" x14ac:dyDescent="0.3">
      <c r="A18" s="439" t="s">
        <v>2682</v>
      </c>
      <c r="B18" s="438"/>
      <c r="C1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1904</v>
      </c>
      <c r="H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16727</v>
      </c>
      <c r="N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16727</v>
      </c>
      <c r="O1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380898</v>
      </c>
      <c r="P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41" t="str">
        <f ca="1">IF(Tabulka[[#This Row],[15_vzpl]]=0,"",Tabulka[[#This Row],[14_vzsk]]/Tabulka[[#This Row],[15_vzpl]])</f>
        <v/>
      </c>
      <c r="S18" s="440" t="str">
        <f ca="1">IF(Tabulka[[#This Row],[15_vzpl]]-Tabulka[[#This Row],[14_vzsk]]=0,"",Tabulka[[#This Row],[15_vzpl]]-Tabulka[[#This Row],[14_vzsk]])</f>
        <v/>
      </c>
    </row>
    <row r="19" spans="1:19" x14ac:dyDescent="0.3">
      <c r="A19" s="439">
        <v>30</v>
      </c>
      <c r="B19" s="438" t="s">
        <v>2704</v>
      </c>
      <c r="C1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1904</v>
      </c>
      <c r="H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16727</v>
      </c>
      <c r="N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16727</v>
      </c>
      <c r="O1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380898</v>
      </c>
      <c r="P1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41" t="str">
        <f ca="1">IF(Tabulka[[#This Row],[15_vzpl]]=0,"",Tabulka[[#This Row],[14_vzsk]]/Tabulka[[#This Row],[15_vzpl]])</f>
        <v/>
      </c>
      <c r="S19" s="440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270</v>
      </c>
    </row>
    <row r="21" spans="1:19" x14ac:dyDescent="0.3">
      <c r="A21" s="206" t="s">
        <v>176</v>
      </c>
    </row>
    <row r="22" spans="1:19" x14ac:dyDescent="0.3">
      <c r="A22" s="207" t="s">
        <v>240</v>
      </c>
    </row>
    <row r="23" spans="1:19" x14ac:dyDescent="0.3">
      <c r="A23" s="431" t="s">
        <v>239</v>
      </c>
    </row>
    <row r="24" spans="1:19" x14ac:dyDescent="0.3">
      <c r="A24" s="351" t="s">
        <v>207</v>
      </c>
    </row>
    <row r="25" spans="1:19" x14ac:dyDescent="0.3">
      <c r="A25" s="353" t="s">
        <v>212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24" priority="3" operator="lessThan">
      <formula>0</formula>
    </cfRule>
  </conditionalFormatting>
  <conditionalFormatting sqref="R6:R19">
    <cfRule type="cellIs" dxfId="23" priority="4" operator="greaterThan">
      <formula>1</formula>
    </cfRule>
  </conditionalFormatting>
  <conditionalFormatting sqref="A8:S19">
    <cfRule type="expression" dxfId="22" priority="2">
      <formula>$B8=""</formula>
    </cfRule>
  </conditionalFormatting>
  <conditionalFormatting sqref="P8:S19">
    <cfRule type="expression" dxfId="2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5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2695</v>
      </c>
    </row>
    <row r="2" spans="1:19" x14ac:dyDescent="0.3">
      <c r="A2" s="348" t="s">
        <v>297</v>
      </c>
    </row>
    <row r="3" spans="1:19" x14ac:dyDescent="0.3">
      <c r="A3" s="477" t="s">
        <v>184</v>
      </c>
      <c r="B3" s="476">
        <v>2018</v>
      </c>
      <c r="C3" t="s">
        <v>269</v>
      </c>
      <c r="D3" t="s">
        <v>260</v>
      </c>
      <c r="E3" t="s">
        <v>258</v>
      </c>
      <c r="F3" t="s">
        <v>257</v>
      </c>
      <c r="G3" t="s">
        <v>256</v>
      </c>
      <c r="H3" t="s">
        <v>255</v>
      </c>
      <c r="I3" t="s">
        <v>254</v>
      </c>
      <c r="J3" t="s">
        <v>253</v>
      </c>
      <c r="K3" t="s">
        <v>252</v>
      </c>
      <c r="L3" t="s">
        <v>251</v>
      </c>
      <c r="M3" t="s">
        <v>250</v>
      </c>
      <c r="N3" t="s">
        <v>249</v>
      </c>
      <c r="O3" t="s">
        <v>248</v>
      </c>
      <c r="P3" t="s">
        <v>247</v>
      </c>
      <c r="Q3" t="s">
        <v>246</v>
      </c>
      <c r="R3" t="s">
        <v>245</v>
      </c>
      <c r="S3" t="s">
        <v>244</v>
      </c>
    </row>
    <row r="4" spans="1:19" x14ac:dyDescent="0.3">
      <c r="A4" s="475" t="s">
        <v>185</v>
      </c>
      <c r="B4" s="474">
        <v>1</v>
      </c>
      <c r="C4" s="469">
        <v>1</v>
      </c>
      <c r="D4" s="469" t="s">
        <v>241</v>
      </c>
      <c r="E4" s="468">
        <v>8.5</v>
      </c>
      <c r="F4" s="468"/>
      <c r="G4" s="468"/>
      <c r="H4" s="468"/>
      <c r="I4" s="468">
        <v>1247</v>
      </c>
      <c r="J4" s="468">
        <v>92</v>
      </c>
      <c r="K4" s="468"/>
      <c r="L4" s="468"/>
      <c r="M4" s="468"/>
      <c r="N4" s="468"/>
      <c r="O4" s="468"/>
      <c r="P4" s="468"/>
      <c r="Q4" s="468">
        <v>731724</v>
      </c>
      <c r="R4" s="468"/>
      <c r="S4" s="468">
        <v>1924.7202623981809</v>
      </c>
    </row>
    <row r="5" spans="1:19" x14ac:dyDescent="0.3">
      <c r="A5" s="473" t="s">
        <v>186</v>
      </c>
      <c r="B5" s="472">
        <v>2</v>
      </c>
      <c r="C5">
        <v>1</v>
      </c>
      <c r="D5">
        <v>99</v>
      </c>
      <c r="S5">
        <v>1924.7202623981809</v>
      </c>
    </row>
    <row r="6" spans="1:19" x14ac:dyDescent="0.3">
      <c r="A6" s="475" t="s">
        <v>187</v>
      </c>
      <c r="B6" s="474">
        <v>3</v>
      </c>
      <c r="C6">
        <v>1</v>
      </c>
      <c r="D6">
        <v>100</v>
      </c>
      <c r="E6">
        <v>1</v>
      </c>
      <c r="I6">
        <v>114.5</v>
      </c>
      <c r="J6">
        <v>17</v>
      </c>
      <c r="Q6">
        <v>57752</v>
      </c>
    </row>
    <row r="7" spans="1:19" x14ac:dyDescent="0.3">
      <c r="A7" s="473" t="s">
        <v>188</v>
      </c>
      <c r="B7" s="472">
        <v>4</v>
      </c>
      <c r="C7">
        <v>1</v>
      </c>
      <c r="D7">
        <v>101</v>
      </c>
      <c r="E7">
        <v>7.5</v>
      </c>
      <c r="I7">
        <v>1132.5</v>
      </c>
      <c r="J7">
        <v>75</v>
      </c>
      <c r="Q7">
        <v>673972</v>
      </c>
    </row>
    <row r="8" spans="1:19" x14ac:dyDescent="0.3">
      <c r="A8" s="475" t="s">
        <v>189</v>
      </c>
      <c r="B8" s="474">
        <v>5</v>
      </c>
      <c r="C8">
        <v>1</v>
      </c>
      <c r="D8" t="s">
        <v>2681</v>
      </c>
      <c r="E8">
        <v>53.25</v>
      </c>
      <c r="I8">
        <v>7666.4500000000007</v>
      </c>
      <c r="J8">
        <v>363</v>
      </c>
      <c r="K8">
        <v>170.6</v>
      </c>
      <c r="L8">
        <v>24</v>
      </c>
      <c r="O8">
        <v>30676</v>
      </c>
      <c r="P8">
        <v>30676</v>
      </c>
      <c r="Q8">
        <v>2244754</v>
      </c>
      <c r="R8">
        <v>7632</v>
      </c>
      <c r="S8">
        <v>5000</v>
      </c>
    </row>
    <row r="9" spans="1:19" x14ac:dyDescent="0.3">
      <c r="A9" s="473" t="s">
        <v>190</v>
      </c>
      <c r="B9" s="472">
        <v>6</v>
      </c>
      <c r="C9">
        <v>1</v>
      </c>
      <c r="D9">
        <v>303</v>
      </c>
      <c r="E9">
        <v>13</v>
      </c>
      <c r="I9">
        <v>1621.5</v>
      </c>
      <c r="J9">
        <v>55</v>
      </c>
      <c r="K9">
        <v>25.5</v>
      </c>
      <c r="O9">
        <v>4272</v>
      </c>
      <c r="P9">
        <v>4272</v>
      </c>
      <c r="Q9">
        <v>366080</v>
      </c>
      <c r="R9">
        <v>7632</v>
      </c>
      <c r="S9">
        <v>5000</v>
      </c>
    </row>
    <row r="10" spans="1:19" x14ac:dyDescent="0.3">
      <c r="A10" s="475" t="s">
        <v>191</v>
      </c>
      <c r="B10" s="474">
        <v>7</v>
      </c>
      <c r="C10">
        <v>1</v>
      </c>
      <c r="D10">
        <v>304</v>
      </c>
      <c r="E10">
        <v>19.5</v>
      </c>
      <c r="I10">
        <v>3150.8</v>
      </c>
      <c r="J10">
        <v>149</v>
      </c>
      <c r="K10">
        <v>100.85</v>
      </c>
      <c r="L10">
        <v>24</v>
      </c>
      <c r="O10">
        <v>12816</v>
      </c>
      <c r="P10">
        <v>12816</v>
      </c>
      <c r="Q10">
        <v>1026603</v>
      </c>
    </row>
    <row r="11" spans="1:19" x14ac:dyDescent="0.3">
      <c r="A11" s="473" t="s">
        <v>192</v>
      </c>
      <c r="B11" s="472">
        <v>8</v>
      </c>
      <c r="C11">
        <v>1</v>
      </c>
      <c r="D11">
        <v>305</v>
      </c>
      <c r="E11">
        <v>13.75</v>
      </c>
      <c r="I11">
        <v>1883.15</v>
      </c>
      <c r="J11">
        <v>44.5</v>
      </c>
      <c r="K11">
        <v>44.25</v>
      </c>
      <c r="O11">
        <v>4272</v>
      </c>
      <c r="P11">
        <v>4272</v>
      </c>
      <c r="Q11">
        <v>638447</v>
      </c>
    </row>
    <row r="12" spans="1:19" x14ac:dyDescent="0.3">
      <c r="A12" s="475" t="s">
        <v>193</v>
      </c>
      <c r="B12" s="474">
        <v>9</v>
      </c>
      <c r="C12">
        <v>1</v>
      </c>
      <c r="D12">
        <v>636</v>
      </c>
      <c r="E12">
        <v>3</v>
      </c>
      <c r="I12">
        <v>333</v>
      </c>
      <c r="J12">
        <v>33</v>
      </c>
      <c r="O12">
        <v>3727</v>
      </c>
      <c r="P12">
        <v>3727</v>
      </c>
      <c r="Q12">
        <v>79485</v>
      </c>
    </row>
    <row r="13" spans="1:19" x14ac:dyDescent="0.3">
      <c r="A13" s="473" t="s">
        <v>194</v>
      </c>
      <c r="B13" s="472">
        <v>10</v>
      </c>
      <c r="C13">
        <v>1</v>
      </c>
      <c r="D13">
        <v>642</v>
      </c>
      <c r="E13">
        <v>4</v>
      </c>
      <c r="I13">
        <v>678</v>
      </c>
      <c r="J13">
        <v>81.5</v>
      </c>
      <c r="O13">
        <v>5589</v>
      </c>
      <c r="P13">
        <v>5589</v>
      </c>
      <c r="Q13">
        <v>134139</v>
      </c>
    </row>
    <row r="14" spans="1:19" x14ac:dyDescent="0.3">
      <c r="A14" s="475" t="s">
        <v>195</v>
      </c>
      <c r="B14" s="474">
        <v>11</v>
      </c>
      <c r="C14">
        <v>1</v>
      </c>
      <c r="D14" t="s">
        <v>2682</v>
      </c>
      <c r="E14">
        <v>1</v>
      </c>
      <c r="I14">
        <v>184</v>
      </c>
      <c r="Q14">
        <v>30230</v>
      </c>
    </row>
    <row r="15" spans="1:19" x14ac:dyDescent="0.3">
      <c r="A15" s="473" t="s">
        <v>196</v>
      </c>
      <c r="B15" s="472">
        <v>12</v>
      </c>
      <c r="C15">
        <v>1</v>
      </c>
      <c r="D15">
        <v>30</v>
      </c>
      <c r="E15">
        <v>1</v>
      </c>
      <c r="I15">
        <v>184</v>
      </c>
      <c r="Q15">
        <v>30230</v>
      </c>
    </row>
    <row r="16" spans="1:19" x14ac:dyDescent="0.3">
      <c r="A16" s="471" t="s">
        <v>184</v>
      </c>
      <c r="B16" s="470">
        <v>2018</v>
      </c>
      <c r="C16" t="s">
        <v>2683</v>
      </c>
      <c r="E16">
        <v>62.75</v>
      </c>
      <c r="I16">
        <v>9097.4500000000007</v>
      </c>
      <c r="J16">
        <v>455</v>
      </c>
      <c r="K16">
        <v>170.6</v>
      </c>
      <c r="L16">
        <v>24</v>
      </c>
      <c r="O16">
        <v>30676</v>
      </c>
      <c r="P16">
        <v>30676</v>
      </c>
      <c r="Q16">
        <v>3006708</v>
      </c>
      <c r="R16">
        <v>7632</v>
      </c>
      <c r="S16">
        <v>6924.7202623981811</v>
      </c>
    </row>
    <row r="17" spans="3:19" x14ac:dyDescent="0.3">
      <c r="C17">
        <v>2</v>
      </c>
      <c r="D17" t="s">
        <v>241</v>
      </c>
      <c r="E17">
        <v>8.5</v>
      </c>
      <c r="I17">
        <v>1240.5</v>
      </c>
      <c r="J17">
        <v>103</v>
      </c>
      <c r="Q17">
        <v>712778</v>
      </c>
      <c r="R17">
        <v>110</v>
      </c>
      <c r="S17">
        <v>1924.7202623981809</v>
      </c>
    </row>
    <row r="18" spans="3:19" x14ac:dyDescent="0.3">
      <c r="C18">
        <v>2</v>
      </c>
      <c r="D18">
        <v>99</v>
      </c>
      <c r="R18">
        <v>110</v>
      </c>
      <c r="S18">
        <v>1924.7202623981809</v>
      </c>
    </row>
    <row r="19" spans="3:19" x14ac:dyDescent="0.3">
      <c r="C19">
        <v>2</v>
      </c>
      <c r="D19">
        <v>100</v>
      </c>
      <c r="E19">
        <v>1</v>
      </c>
      <c r="I19">
        <v>142.5</v>
      </c>
      <c r="J19">
        <v>17</v>
      </c>
      <c r="Q19">
        <v>55527</v>
      </c>
    </row>
    <row r="20" spans="3:19" x14ac:dyDescent="0.3">
      <c r="C20">
        <v>2</v>
      </c>
      <c r="D20">
        <v>101</v>
      </c>
      <c r="E20">
        <v>7.5</v>
      </c>
      <c r="I20">
        <v>1098</v>
      </c>
      <c r="J20">
        <v>86</v>
      </c>
      <c r="Q20">
        <v>657251</v>
      </c>
    </row>
    <row r="21" spans="3:19" x14ac:dyDescent="0.3">
      <c r="C21">
        <v>2</v>
      </c>
      <c r="D21" t="s">
        <v>2681</v>
      </c>
      <c r="E21">
        <v>51.5</v>
      </c>
      <c r="I21">
        <v>6184.0599999999995</v>
      </c>
      <c r="J21">
        <v>772.13</v>
      </c>
      <c r="K21">
        <v>252.46</v>
      </c>
      <c r="L21">
        <v>12</v>
      </c>
      <c r="O21">
        <v>68170</v>
      </c>
      <c r="P21">
        <v>68170</v>
      </c>
      <c r="Q21">
        <v>2271398</v>
      </c>
      <c r="S21">
        <v>5000</v>
      </c>
    </row>
    <row r="22" spans="3:19" x14ac:dyDescent="0.3">
      <c r="C22">
        <v>2</v>
      </c>
      <c r="D22">
        <v>303</v>
      </c>
      <c r="E22">
        <v>12</v>
      </c>
      <c r="I22">
        <v>1324.5</v>
      </c>
      <c r="J22">
        <v>170</v>
      </c>
      <c r="K22">
        <v>69</v>
      </c>
      <c r="O22">
        <v>5750</v>
      </c>
      <c r="P22">
        <v>5750</v>
      </c>
      <c r="Q22">
        <v>380117</v>
      </c>
      <c r="S22">
        <v>5000</v>
      </c>
    </row>
    <row r="23" spans="3:19" x14ac:dyDescent="0.3">
      <c r="C23">
        <v>2</v>
      </c>
      <c r="D23">
        <v>304</v>
      </c>
      <c r="E23">
        <v>19.5</v>
      </c>
      <c r="I23">
        <v>2693.52</v>
      </c>
      <c r="J23">
        <v>300</v>
      </c>
      <c r="K23">
        <v>131</v>
      </c>
      <c r="L23">
        <v>12</v>
      </c>
      <c r="O23">
        <v>33354</v>
      </c>
      <c r="P23">
        <v>33354</v>
      </c>
      <c r="Q23">
        <v>1065479</v>
      </c>
    </row>
    <row r="24" spans="3:19" x14ac:dyDescent="0.3">
      <c r="C24">
        <v>2</v>
      </c>
      <c r="D24">
        <v>305</v>
      </c>
      <c r="E24">
        <v>14</v>
      </c>
      <c r="I24">
        <v>1440.04</v>
      </c>
      <c r="J24">
        <v>160.13</v>
      </c>
      <c r="K24">
        <v>52.46</v>
      </c>
      <c r="O24">
        <v>19750</v>
      </c>
      <c r="P24">
        <v>19750</v>
      </c>
      <c r="Q24">
        <v>629556</v>
      </c>
    </row>
    <row r="25" spans="3:19" x14ac:dyDescent="0.3">
      <c r="C25">
        <v>2</v>
      </c>
      <c r="D25">
        <v>636</v>
      </c>
      <c r="E25">
        <v>3</v>
      </c>
      <c r="I25">
        <v>276</v>
      </c>
      <c r="J25">
        <v>54</v>
      </c>
      <c r="O25">
        <v>3727</v>
      </c>
      <c r="P25">
        <v>3727</v>
      </c>
      <c r="Q25">
        <v>86117</v>
      </c>
    </row>
    <row r="26" spans="3:19" x14ac:dyDescent="0.3">
      <c r="C26">
        <v>2</v>
      </c>
      <c r="D26">
        <v>642</v>
      </c>
      <c r="E26">
        <v>3</v>
      </c>
      <c r="I26">
        <v>450</v>
      </c>
      <c r="J26">
        <v>88</v>
      </c>
      <c r="O26">
        <v>5589</v>
      </c>
      <c r="P26">
        <v>5589</v>
      </c>
      <c r="Q26">
        <v>110129</v>
      </c>
    </row>
    <row r="27" spans="3:19" x14ac:dyDescent="0.3">
      <c r="C27">
        <v>2</v>
      </c>
      <c r="D27" t="s">
        <v>2682</v>
      </c>
      <c r="E27">
        <v>1</v>
      </c>
      <c r="I27">
        <v>160</v>
      </c>
      <c r="Q27">
        <v>30230</v>
      </c>
    </row>
    <row r="28" spans="3:19" x14ac:dyDescent="0.3">
      <c r="C28">
        <v>2</v>
      </c>
      <c r="D28">
        <v>30</v>
      </c>
      <c r="E28">
        <v>1</v>
      </c>
      <c r="I28">
        <v>160</v>
      </c>
      <c r="Q28">
        <v>30230</v>
      </c>
    </row>
    <row r="29" spans="3:19" x14ac:dyDescent="0.3">
      <c r="C29" t="s">
        <v>2684</v>
      </c>
      <c r="E29">
        <v>61</v>
      </c>
      <c r="I29">
        <v>7584.56</v>
      </c>
      <c r="J29">
        <v>875.13</v>
      </c>
      <c r="K29">
        <v>252.46</v>
      </c>
      <c r="L29">
        <v>12</v>
      </c>
      <c r="O29">
        <v>68170</v>
      </c>
      <c r="P29">
        <v>68170</v>
      </c>
      <c r="Q29">
        <v>3014406</v>
      </c>
      <c r="R29">
        <v>110</v>
      </c>
      <c r="S29">
        <v>6924.7202623981811</v>
      </c>
    </row>
    <row r="30" spans="3:19" x14ac:dyDescent="0.3">
      <c r="C30">
        <v>3</v>
      </c>
      <c r="D30" t="s">
        <v>241</v>
      </c>
      <c r="E30">
        <v>8.5</v>
      </c>
      <c r="I30">
        <v>1169.5</v>
      </c>
      <c r="J30">
        <v>70</v>
      </c>
      <c r="Q30">
        <v>730250</v>
      </c>
      <c r="R30">
        <v>14500</v>
      </c>
      <c r="S30">
        <v>1924.7202623981809</v>
      </c>
    </row>
    <row r="31" spans="3:19" x14ac:dyDescent="0.3">
      <c r="C31">
        <v>3</v>
      </c>
      <c r="D31">
        <v>99</v>
      </c>
      <c r="R31">
        <v>14500</v>
      </c>
      <c r="S31">
        <v>1924.7202623981809</v>
      </c>
    </row>
    <row r="32" spans="3:19" x14ac:dyDescent="0.3">
      <c r="C32">
        <v>3</v>
      </c>
      <c r="D32">
        <v>100</v>
      </c>
      <c r="E32">
        <v>1</v>
      </c>
      <c r="I32">
        <v>145</v>
      </c>
      <c r="J32">
        <v>5</v>
      </c>
      <c r="Q32">
        <v>50960</v>
      </c>
    </row>
    <row r="33" spans="3:19" x14ac:dyDescent="0.3">
      <c r="C33">
        <v>3</v>
      </c>
      <c r="D33">
        <v>101</v>
      </c>
      <c r="E33">
        <v>7.5</v>
      </c>
      <c r="I33">
        <v>1024.5</v>
      </c>
      <c r="J33">
        <v>65</v>
      </c>
      <c r="Q33">
        <v>679290</v>
      </c>
    </row>
    <row r="34" spans="3:19" x14ac:dyDescent="0.3">
      <c r="C34">
        <v>3</v>
      </c>
      <c r="D34" t="s">
        <v>2681</v>
      </c>
      <c r="E34">
        <v>52</v>
      </c>
      <c r="I34">
        <v>6797.12</v>
      </c>
      <c r="J34">
        <v>571</v>
      </c>
      <c r="K34">
        <v>150.78</v>
      </c>
      <c r="L34">
        <v>36</v>
      </c>
      <c r="O34">
        <v>39382</v>
      </c>
      <c r="P34">
        <v>39382</v>
      </c>
      <c r="Q34">
        <v>2259084</v>
      </c>
      <c r="S34">
        <v>5000</v>
      </c>
    </row>
    <row r="35" spans="3:19" x14ac:dyDescent="0.3">
      <c r="C35">
        <v>3</v>
      </c>
      <c r="D35">
        <v>303</v>
      </c>
      <c r="E35">
        <v>12.25</v>
      </c>
      <c r="I35">
        <v>1538.27</v>
      </c>
      <c r="J35">
        <v>62</v>
      </c>
      <c r="K35">
        <v>11.23</v>
      </c>
      <c r="O35">
        <v>4826</v>
      </c>
      <c r="P35">
        <v>4826</v>
      </c>
      <c r="Q35">
        <v>358185</v>
      </c>
      <c r="S35">
        <v>5000</v>
      </c>
    </row>
    <row r="36" spans="3:19" x14ac:dyDescent="0.3">
      <c r="C36">
        <v>3</v>
      </c>
      <c r="D36">
        <v>304</v>
      </c>
      <c r="E36">
        <v>19.75</v>
      </c>
      <c r="I36">
        <v>2940.81</v>
      </c>
      <c r="J36">
        <v>202</v>
      </c>
      <c r="K36">
        <v>97.96</v>
      </c>
      <c r="L36">
        <v>36</v>
      </c>
      <c r="O36">
        <v>16304</v>
      </c>
      <c r="P36">
        <v>16304</v>
      </c>
      <c r="Q36">
        <v>1047293</v>
      </c>
    </row>
    <row r="37" spans="3:19" x14ac:dyDescent="0.3">
      <c r="C37">
        <v>3</v>
      </c>
      <c r="D37">
        <v>305</v>
      </c>
      <c r="E37">
        <v>14</v>
      </c>
      <c r="I37">
        <v>1494.54</v>
      </c>
      <c r="J37">
        <v>141</v>
      </c>
      <c r="K37">
        <v>41.59</v>
      </c>
      <c r="O37">
        <v>18252</v>
      </c>
      <c r="P37">
        <v>18252</v>
      </c>
      <c r="Q37">
        <v>635692</v>
      </c>
    </row>
    <row r="38" spans="3:19" x14ac:dyDescent="0.3">
      <c r="C38">
        <v>3</v>
      </c>
      <c r="D38">
        <v>636</v>
      </c>
      <c r="E38">
        <v>3</v>
      </c>
      <c r="I38">
        <v>399</v>
      </c>
      <c r="J38">
        <v>71</v>
      </c>
      <c r="Q38">
        <v>107431</v>
      </c>
    </row>
    <row r="39" spans="3:19" x14ac:dyDescent="0.3">
      <c r="C39">
        <v>3</v>
      </c>
      <c r="D39">
        <v>642</v>
      </c>
      <c r="E39">
        <v>3</v>
      </c>
      <c r="I39">
        <v>424.5</v>
      </c>
      <c r="J39">
        <v>95</v>
      </c>
      <c r="Q39">
        <v>110483</v>
      </c>
    </row>
    <row r="40" spans="3:19" x14ac:dyDescent="0.3">
      <c r="C40">
        <v>3</v>
      </c>
      <c r="D40" t="s">
        <v>2682</v>
      </c>
      <c r="E40">
        <v>1</v>
      </c>
      <c r="I40">
        <v>176</v>
      </c>
      <c r="Q40">
        <v>30230</v>
      </c>
    </row>
    <row r="41" spans="3:19" x14ac:dyDescent="0.3">
      <c r="C41">
        <v>3</v>
      </c>
      <c r="D41">
        <v>30</v>
      </c>
      <c r="E41">
        <v>1</v>
      </c>
      <c r="I41">
        <v>176</v>
      </c>
      <c r="Q41">
        <v>30230</v>
      </c>
    </row>
    <row r="42" spans="3:19" x14ac:dyDescent="0.3">
      <c r="C42" t="s">
        <v>2685</v>
      </c>
      <c r="E42">
        <v>61.5</v>
      </c>
      <c r="I42">
        <v>8142.62</v>
      </c>
      <c r="J42">
        <v>641</v>
      </c>
      <c r="K42">
        <v>150.78</v>
      </c>
      <c r="L42">
        <v>36</v>
      </c>
      <c r="O42">
        <v>39382</v>
      </c>
      <c r="P42">
        <v>39382</v>
      </c>
      <c r="Q42">
        <v>3019564</v>
      </c>
      <c r="R42">
        <v>14500</v>
      </c>
      <c r="S42">
        <v>6924.7202623981811</v>
      </c>
    </row>
    <row r="43" spans="3:19" x14ac:dyDescent="0.3">
      <c r="C43">
        <v>4</v>
      </c>
      <c r="D43" t="s">
        <v>241</v>
      </c>
      <c r="E43">
        <v>8.5</v>
      </c>
      <c r="I43">
        <v>1259.25</v>
      </c>
      <c r="J43">
        <v>179</v>
      </c>
      <c r="Q43">
        <v>770931</v>
      </c>
      <c r="S43">
        <v>1924.7202623981809</v>
      </c>
    </row>
    <row r="44" spans="3:19" x14ac:dyDescent="0.3">
      <c r="C44">
        <v>4</v>
      </c>
      <c r="D44">
        <v>99</v>
      </c>
      <c r="S44">
        <v>1924.7202623981809</v>
      </c>
    </row>
    <row r="45" spans="3:19" x14ac:dyDescent="0.3">
      <c r="C45">
        <v>4</v>
      </c>
      <c r="D45">
        <v>100</v>
      </c>
      <c r="E45">
        <v>1</v>
      </c>
      <c r="I45">
        <v>108.5</v>
      </c>
      <c r="J45">
        <v>34</v>
      </c>
      <c r="Q45">
        <v>51765</v>
      </c>
    </row>
    <row r="46" spans="3:19" x14ac:dyDescent="0.3">
      <c r="C46">
        <v>4</v>
      </c>
      <c r="D46">
        <v>101</v>
      </c>
      <c r="E46">
        <v>7.5</v>
      </c>
      <c r="I46">
        <v>1150.75</v>
      </c>
      <c r="J46">
        <v>145</v>
      </c>
      <c r="Q46">
        <v>719166</v>
      </c>
    </row>
    <row r="47" spans="3:19" x14ac:dyDescent="0.3">
      <c r="C47">
        <v>4</v>
      </c>
      <c r="D47" t="s">
        <v>2681</v>
      </c>
      <c r="E47">
        <v>52</v>
      </c>
      <c r="I47">
        <v>6949.6500000000005</v>
      </c>
      <c r="J47">
        <v>996</v>
      </c>
      <c r="K47">
        <v>268.04999999999995</v>
      </c>
      <c r="L47">
        <v>36</v>
      </c>
      <c r="O47">
        <v>25084</v>
      </c>
      <c r="P47">
        <v>25084</v>
      </c>
      <c r="Q47">
        <v>2534843</v>
      </c>
      <c r="R47">
        <v>1000</v>
      </c>
      <c r="S47">
        <v>5000</v>
      </c>
    </row>
    <row r="48" spans="3:19" x14ac:dyDescent="0.3">
      <c r="C48">
        <v>4</v>
      </c>
      <c r="D48">
        <v>303</v>
      </c>
      <c r="E48">
        <v>11.25</v>
      </c>
      <c r="I48">
        <v>1332.4</v>
      </c>
      <c r="J48">
        <v>188</v>
      </c>
      <c r="K48">
        <v>18.75</v>
      </c>
      <c r="Q48">
        <v>413683</v>
      </c>
      <c r="R48">
        <v>1000</v>
      </c>
      <c r="S48">
        <v>5000</v>
      </c>
    </row>
    <row r="49" spans="3:19" x14ac:dyDescent="0.3">
      <c r="C49">
        <v>4</v>
      </c>
      <c r="D49">
        <v>304</v>
      </c>
      <c r="E49">
        <v>21.75</v>
      </c>
      <c r="I49">
        <v>3211.2</v>
      </c>
      <c r="J49">
        <v>449</v>
      </c>
      <c r="K49">
        <v>163.44999999999999</v>
      </c>
      <c r="L49">
        <v>36</v>
      </c>
      <c r="O49">
        <v>5000</v>
      </c>
      <c r="P49">
        <v>5000</v>
      </c>
      <c r="Q49">
        <v>1279373</v>
      </c>
    </row>
    <row r="50" spans="3:19" x14ac:dyDescent="0.3">
      <c r="C50">
        <v>4</v>
      </c>
      <c r="D50">
        <v>305</v>
      </c>
      <c r="E50">
        <v>13</v>
      </c>
      <c r="I50">
        <v>1521.05</v>
      </c>
      <c r="J50">
        <v>199</v>
      </c>
      <c r="K50">
        <v>85.85</v>
      </c>
      <c r="O50">
        <v>20084</v>
      </c>
      <c r="P50">
        <v>20084</v>
      </c>
      <c r="Q50">
        <v>609899</v>
      </c>
    </row>
    <row r="51" spans="3:19" x14ac:dyDescent="0.3">
      <c r="C51">
        <v>4</v>
      </c>
      <c r="D51">
        <v>636</v>
      </c>
      <c r="E51">
        <v>3</v>
      </c>
      <c r="I51">
        <v>412.5</v>
      </c>
      <c r="J51">
        <v>92</v>
      </c>
      <c r="Q51">
        <v>129974</v>
      </c>
    </row>
    <row r="52" spans="3:19" x14ac:dyDescent="0.3">
      <c r="C52">
        <v>4</v>
      </c>
      <c r="D52">
        <v>642</v>
      </c>
      <c r="E52">
        <v>3</v>
      </c>
      <c r="I52">
        <v>472.5</v>
      </c>
      <c r="J52">
        <v>68</v>
      </c>
      <c r="Q52">
        <v>101914</v>
      </c>
    </row>
    <row r="53" spans="3:19" x14ac:dyDescent="0.3">
      <c r="C53">
        <v>4</v>
      </c>
      <c r="D53" t="s">
        <v>2682</v>
      </c>
      <c r="E53">
        <v>1</v>
      </c>
      <c r="I53">
        <v>120</v>
      </c>
      <c r="Q53">
        <v>30316</v>
      </c>
    </row>
    <row r="54" spans="3:19" x14ac:dyDescent="0.3">
      <c r="C54">
        <v>4</v>
      </c>
      <c r="D54">
        <v>30</v>
      </c>
      <c r="E54">
        <v>1</v>
      </c>
      <c r="I54">
        <v>120</v>
      </c>
      <c r="Q54">
        <v>30316</v>
      </c>
    </row>
    <row r="55" spans="3:19" x14ac:dyDescent="0.3">
      <c r="C55" t="s">
        <v>2686</v>
      </c>
      <c r="E55">
        <v>61.5</v>
      </c>
      <c r="I55">
        <v>8328.9000000000015</v>
      </c>
      <c r="J55">
        <v>1175</v>
      </c>
      <c r="K55">
        <v>268.04999999999995</v>
      </c>
      <c r="L55">
        <v>36</v>
      </c>
      <c r="O55">
        <v>25084</v>
      </c>
      <c r="P55">
        <v>25084</v>
      </c>
      <c r="Q55">
        <v>3336090</v>
      </c>
      <c r="R55">
        <v>1000</v>
      </c>
      <c r="S55">
        <v>6924.7202623981811</v>
      </c>
    </row>
    <row r="56" spans="3:19" x14ac:dyDescent="0.3">
      <c r="C56">
        <v>5</v>
      </c>
      <c r="D56" t="s">
        <v>241</v>
      </c>
      <c r="E56">
        <v>8.5</v>
      </c>
      <c r="I56">
        <v>1249</v>
      </c>
      <c r="J56">
        <v>152</v>
      </c>
      <c r="Q56">
        <v>740512</v>
      </c>
      <c r="S56">
        <v>1924.7202623981809</v>
      </c>
    </row>
    <row r="57" spans="3:19" x14ac:dyDescent="0.3">
      <c r="C57">
        <v>5</v>
      </c>
      <c r="D57">
        <v>99</v>
      </c>
      <c r="S57">
        <v>1924.7202623981809</v>
      </c>
    </row>
    <row r="58" spans="3:19" x14ac:dyDescent="0.3">
      <c r="C58">
        <v>5</v>
      </c>
      <c r="D58">
        <v>100</v>
      </c>
      <c r="E58">
        <v>1</v>
      </c>
      <c r="J58">
        <v>14</v>
      </c>
      <c r="Q58">
        <v>9133</v>
      </c>
    </row>
    <row r="59" spans="3:19" x14ac:dyDescent="0.3">
      <c r="C59">
        <v>5</v>
      </c>
      <c r="D59">
        <v>101</v>
      </c>
      <c r="E59">
        <v>7.5</v>
      </c>
      <c r="I59">
        <v>1249</v>
      </c>
      <c r="J59">
        <v>138</v>
      </c>
      <c r="Q59">
        <v>731379</v>
      </c>
    </row>
    <row r="60" spans="3:19" x14ac:dyDescent="0.3">
      <c r="C60">
        <v>5</v>
      </c>
      <c r="D60" t="s">
        <v>2681</v>
      </c>
      <c r="E60">
        <v>52</v>
      </c>
      <c r="I60">
        <v>7693.25</v>
      </c>
      <c r="J60">
        <v>738</v>
      </c>
      <c r="K60">
        <v>230.1</v>
      </c>
      <c r="L60">
        <v>48</v>
      </c>
      <c r="O60">
        <v>40584</v>
      </c>
      <c r="P60">
        <v>40584</v>
      </c>
      <c r="Q60">
        <v>2484886</v>
      </c>
      <c r="S60">
        <v>5000</v>
      </c>
    </row>
    <row r="61" spans="3:19" x14ac:dyDescent="0.3">
      <c r="C61">
        <v>5</v>
      </c>
      <c r="D61">
        <v>303</v>
      </c>
      <c r="E61">
        <v>10.25</v>
      </c>
      <c r="I61">
        <v>1253.25</v>
      </c>
      <c r="J61">
        <v>201</v>
      </c>
      <c r="K61">
        <v>29.25</v>
      </c>
      <c r="O61">
        <v>9000</v>
      </c>
      <c r="P61">
        <v>9000</v>
      </c>
      <c r="Q61">
        <v>378669</v>
      </c>
      <c r="S61">
        <v>5000</v>
      </c>
    </row>
    <row r="62" spans="3:19" x14ac:dyDescent="0.3">
      <c r="C62">
        <v>5</v>
      </c>
      <c r="D62">
        <v>304</v>
      </c>
      <c r="E62">
        <v>22.75</v>
      </c>
      <c r="I62">
        <v>3711.45</v>
      </c>
      <c r="J62">
        <v>257</v>
      </c>
      <c r="K62">
        <v>151.85</v>
      </c>
      <c r="L62">
        <v>48</v>
      </c>
      <c r="O62">
        <v>10750</v>
      </c>
      <c r="P62">
        <v>10750</v>
      </c>
      <c r="Q62">
        <v>1265665</v>
      </c>
    </row>
    <row r="63" spans="3:19" x14ac:dyDescent="0.3">
      <c r="C63">
        <v>5</v>
      </c>
      <c r="D63">
        <v>305</v>
      </c>
      <c r="E63">
        <v>12</v>
      </c>
      <c r="I63">
        <v>1653.05</v>
      </c>
      <c r="J63">
        <v>143</v>
      </c>
      <c r="K63">
        <v>49</v>
      </c>
      <c r="O63">
        <v>20834</v>
      </c>
      <c r="P63">
        <v>20834</v>
      </c>
      <c r="Q63">
        <v>585145</v>
      </c>
    </row>
    <row r="64" spans="3:19" x14ac:dyDescent="0.3">
      <c r="C64">
        <v>5</v>
      </c>
      <c r="D64">
        <v>636</v>
      </c>
      <c r="E64">
        <v>3</v>
      </c>
      <c r="I64">
        <v>517.5</v>
      </c>
      <c r="J64">
        <v>55</v>
      </c>
      <c r="Q64">
        <v>121480</v>
      </c>
    </row>
    <row r="65" spans="3:19" x14ac:dyDescent="0.3">
      <c r="C65">
        <v>5</v>
      </c>
      <c r="D65">
        <v>642</v>
      </c>
      <c r="E65">
        <v>4</v>
      </c>
      <c r="I65">
        <v>558</v>
      </c>
      <c r="J65">
        <v>82</v>
      </c>
      <c r="Q65">
        <v>133927</v>
      </c>
    </row>
    <row r="66" spans="3:19" x14ac:dyDescent="0.3">
      <c r="C66">
        <v>5</v>
      </c>
      <c r="D66" t="s">
        <v>2682</v>
      </c>
      <c r="E66">
        <v>1</v>
      </c>
      <c r="I66">
        <v>176</v>
      </c>
      <c r="Q66">
        <v>30370</v>
      </c>
    </row>
    <row r="67" spans="3:19" x14ac:dyDescent="0.3">
      <c r="C67">
        <v>5</v>
      </c>
      <c r="D67">
        <v>30</v>
      </c>
      <c r="E67">
        <v>1</v>
      </c>
      <c r="I67">
        <v>176</v>
      </c>
      <c r="Q67">
        <v>30370</v>
      </c>
    </row>
    <row r="68" spans="3:19" x14ac:dyDescent="0.3">
      <c r="C68" t="s">
        <v>2687</v>
      </c>
      <c r="E68">
        <v>61.5</v>
      </c>
      <c r="I68">
        <v>9118.25</v>
      </c>
      <c r="J68">
        <v>890</v>
      </c>
      <c r="K68">
        <v>230.1</v>
      </c>
      <c r="L68">
        <v>48</v>
      </c>
      <c r="O68">
        <v>40584</v>
      </c>
      <c r="P68">
        <v>40584</v>
      </c>
      <c r="Q68">
        <v>3255768</v>
      </c>
      <c r="S68">
        <v>6924.7202623981811</v>
      </c>
    </row>
    <row r="69" spans="3:19" x14ac:dyDescent="0.3">
      <c r="C69">
        <v>6</v>
      </c>
      <c r="D69" t="s">
        <v>241</v>
      </c>
      <c r="E69">
        <v>8.5</v>
      </c>
      <c r="I69">
        <v>1052.75</v>
      </c>
      <c r="J69">
        <v>128</v>
      </c>
      <c r="Q69">
        <v>733856</v>
      </c>
      <c r="S69">
        <v>1924.7202623981809</v>
      </c>
    </row>
    <row r="70" spans="3:19" x14ac:dyDescent="0.3">
      <c r="C70">
        <v>6</v>
      </c>
      <c r="D70">
        <v>99</v>
      </c>
      <c r="S70">
        <v>1924.7202623981809</v>
      </c>
    </row>
    <row r="71" spans="3:19" x14ac:dyDescent="0.3">
      <c r="C71">
        <v>6</v>
      </c>
      <c r="D71">
        <v>100</v>
      </c>
      <c r="E71">
        <v>1</v>
      </c>
      <c r="I71">
        <v>86.5</v>
      </c>
      <c r="J71">
        <v>14</v>
      </c>
      <c r="Q71">
        <v>43071</v>
      </c>
    </row>
    <row r="72" spans="3:19" x14ac:dyDescent="0.3">
      <c r="C72">
        <v>6</v>
      </c>
      <c r="D72">
        <v>101</v>
      </c>
      <c r="E72">
        <v>7.5</v>
      </c>
      <c r="I72">
        <v>966.25</v>
      </c>
      <c r="J72">
        <v>114</v>
      </c>
      <c r="Q72">
        <v>690785</v>
      </c>
    </row>
    <row r="73" spans="3:19" x14ac:dyDescent="0.3">
      <c r="C73">
        <v>6</v>
      </c>
      <c r="D73" t="s">
        <v>2681</v>
      </c>
      <c r="E73">
        <v>52</v>
      </c>
      <c r="I73">
        <v>6745.25</v>
      </c>
      <c r="J73">
        <v>422.5</v>
      </c>
      <c r="K73">
        <v>188.59</v>
      </c>
      <c r="L73">
        <v>12</v>
      </c>
      <c r="O73">
        <v>37754</v>
      </c>
      <c r="P73">
        <v>37754</v>
      </c>
      <c r="Q73">
        <v>2296334</v>
      </c>
      <c r="S73">
        <v>5000</v>
      </c>
    </row>
    <row r="74" spans="3:19" x14ac:dyDescent="0.3">
      <c r="C74">
        <v>6</v>
      </c>
      <c r="D74">
        <v>303</v>
      </c>
      <c r="E74">
        <v>8.25</v>
      </c>
      <c r="I74">
        <v>991.15</v>
      </c>
      <c r="J74">
        <v>10</v>
      </c>
      <c r="K74">
        <v>25.85</v>
      </c>
      <c r="O74">
        <v>6857</v>
      </c>
      <c r="P74">
        <v>6857</v>
      </c>
      <c r="Q74">
        <v>249398</v>
      </c>
      <c r="S74">
        <v>5000</v>
      </c>
    </row>
    <row r="75" spans="3:19" x14ac:dyDescent="0.3">
      <c r="C75">
        <v>6</v>
      </c>
      <c r="D75">
        <v>304</v>
      </c>
      <c r="E75">
        <v>24.75</v>
      </c>
      <c r="I75">
        <v>3283.55</v>
      </c>
      <c r="J75">
        <v>244.5</v>
      </c>
      <c r="K75">
        <v>97.43</v>
      </c>
      <c r="L75">
        <v>12</v>
      </c>
      <c r="O75">
        <v>15447</v>
      </c>
      <c r="P75">
        <v>15447</v>
      </c>
      <c r="Q75">
        <v>1210506</v>
      </c>
    </row>
    <row r="76" spans="3:19" x14ac:dyDescent="0.3">
      <c r="C76">
        <v>6</v>
      </c>
      <c r="D76">
        <v>305</v>
      </c>
      <c r="E76">
        <v>12</v>
      </c>
      <c r="I76">
        <v>1489.55</v>
      </c>
      <c r="J76">
        <v>83</v>
      </c>
      <c r="K76">
        <v>65.31</v>
      </c>
      <c r="O76">
        <v>15450</v>
      </c>
      <c r="P76">
        <v>15450</v>
      </c>
      <c r="Q76">
        <v>611247</v>
      </c>
    </row>
    <row r="77" spans="3:19" x14ac:dyDescent="0.3">
      <c r="C77">
        <v>6</v>
      </c>
      <c r="D77">
        <v>636</v>
      </c>
      <c r="E77">
        <v>3</v>
      </c>
      <c r="I77">
        <v>363</v>
      </c>
      <c r="J77">
        <v>27</v>
      </c>
      <c r="Q77">
        <v>107229</v>
      </c>
    </row>
    <row r="78" spans="3:19" x14ac:dyDescent="0.3">
      <c r="C78">
        <v>6</v>
      </c>
      <c r="D78">
        <v>642</v>
      </c>
      <c r="E78">
        <v>4</v>
      </c>
      <c r="I78">
        <v>618</v>
      </c>
      <c r="J78">
        <v>58</v>
      </c>
      <c r="Q78">
        <v>117954</v>
      </c>
    </row>
    <row r="79" spans="3:19" x14ac:dyDescent="0.3">
      <c r="C79">
        <v>6</v>
      </c>
      <c r="D79" t="s">
        <v>2682</v>
      </c>
      <c r="E79">
        <v>1</v>
      </c>
      <c r="I79">
        <v>136</v>
      </c>
      <c r="Q79">
        <v>30287</v>
      </c>
    </row>
    <row r="80" spans="3:19" x14ac:dyDescent="0.3">
      <c r="C80">
        <v>6</v>
      </c>
      <c r="D80">
        <v>30</v>
      </c>
      <c r="E80">
        <v>1</v>
      </c>
      <c r="I80">
        <v>136</v>
      </c>
      <c r="Q80">
        <v>30287</v>
      </c>
    </row>
    <row r="81" spans="3:19" x14ac:dyDescent="0.3">
      <c r="C81" t="s">
        <v>2688</v>
      </c>
      <c r="E81">
        <v>61.5</v>
      </c>
      <c r="I81">
        <v>7934.0000000000009</v>
      </c>
      <c r="J81">
        <v>550.5</v>
      </c>
      <c r="K81">
        <v>188.59</v>
      </c>
      <c r="L81">
        <v>12</v>
      </c>
      <c r="O81">
        <v>37754</v>
      </c>
      <c r="P81">
        <v>37754</v>
      </c>
      <c r="Q81">
        <v>3060477</v>
      </c>
      <c r="S81">
        <v>6924.7202623981811</v>
      </c>
    </row>
    <row r="82" spans="3:19" x14ac:dyDescent="0.3">
      <c r="C82">
        <v>7</v>
      </c>
      <c r="D82" t="s">
        <v>241</v>
      </c>
      <c r="E82">
        <v>8.5</v>
      </c>
      <c r="I82">
        <v>1155.5</v>
      </c>
      <c r="J82">
        <v>81</v>
      </c>
      <c r="O82">
        <v>321656</v>
      </c>
      <c r="P82">
        <v>321656</v>
      </c>
      <c r="Q82">
        <v>1073310</v>
      </c>
      <c r="S82">
        <v>1924.7202623981809</v>
      </c>
    </row>
    <row r="83" spans="3:19" x14ac:dyDescent="0.3">
      <c r="C83">
        <v>7</v>
      </c>
      <c r="D83">
        <v>99</v>
      </c>
      <c r="S83">
        <v>1924.7202623981809</v>
      </c>
    </row>
    <row r="84" spans="3:19" x14ac:dyDescent="0.3">
      <c r="C84">
        <v>7</v>
      </c>
      <c r="D84">
        <v>101</v>
      </c>
      <c r="E84">
        <v>8.5</v>
      </c>
      <c r="I84">
        <v>1155.5</v>
      </c>
      <c r="J84">
        <v>81</v>
      </c>
      <c r="O84">
        <v>321656</v>
      </c>
      <c r="P84">
        <v>321656</v>
      </c>
      <c r="Q84">
        <v>1073310</v>
      </c>
    </row>
    <row r="85" spans="3:19" x14ac:dyDescent="0.3">
      <c r="C85">
        <v>7</v>
      </c>
      <c r="D85" t="s">
        <v>2681</v>
      </c>
      <c r="E85">
        <v>52.75</v>
      </c>
      <c r="I85">
        <v>6357.12</v>
      </c>
      <c r="J85">
        <v>411.9</v>
      </c>
      <c r="K85">
        <v>180.18999999999997</v>
      </c>
      <c r="L85">
        <v>36</v>
      </c>
      <c r="O85">
        <v>530284</v>
      </c>
      <c r="P85">
        <v>530284</v>
      </c>
      <c r="Q85">
        <v>2990718</v>
      </c>
      <c r="S85">
        <v>5000</v>
      </c>
    </row>
    <row r="86" spans="3:19" x14ac:dyDescent="0.3">
      <c r="C86">
        <v>7</v>
      </c>
      <c r="D86">
        <v>303</v>
      </c>
      <c r="E86">
        <v>8</v>
      </c>
      <c r="I86">
        <v>915</v>
      </c>
      <c r="J86">
        <v>30</v>
      </c>
      <c r="K86">
        <v>37.5</v>
      </c>
      <c r="O86">
        <v>57911</v>
      </c>
      <c r="P86">
        <v>57911</v>
      </c>
      <c r="Q86">
        <v>341167</v>
      </c>
      <c r="S86">
        <v>5000</v>
      </c>
    </row>
    <row r="87" spans="3:19" x14ac:dyDescent="0.3">
      <c r="C87">
        <v>7</v>
      </c>
      <c r="D87">
        <v>304</v>
      </c>
      <c r="E87">
        <v>25.75</v>
      </c>
      <c r="I87">
        <v>2950.58</v>
      </c>
      <c r="J87">
        <v>179.5</v>
      </c>
      <c r="K87">
        <v>114.96</v>
      </c>
      <c r="L87">
        <v>36</v>
      </c>
      <c r="O87">
        <v>260049</v>
      </c>
      <c r="P87">
        <v>260049</v>
      </c>
      <c r="Q87">
        <v>1563937</v>
      </c>
    </row>
    <row r="88" spans="3:19" x14ac:dyDescent="0.3">
      <c r="C88">
        <v>7</v>
      </c>
      <c r="D88">
        <v>305</v>
      </c>
      <c r="E88">
        <v>12</v>
      </c>
      <c r="I88">
        <v>1540.54</v>
      </c>
      <c r="J88">
        <v>95.4</v>
      </c>
      <c r="K88">
        <v>27.73</v>
      </c>
      <c r="O88">
        <v>158469</v>
      </c>
      <c r="P88">
        <v>158469</v>
      </c>
      <c r="Q88">
        <v>784258</v>
      </c>
    </row>
    <row r="89" spans="3:19" x14ac:dyDescent="0.3">
      <c r="C89">
        <v>7</v>
      </c>
      <c r="D89">
        <v>636</v>
      </c>
      <c r="E89">
        <v>3</v>
      </c>
      <c r="I89">
        <v>435</v>
      </c>
      <c r="J89">
        <v>48</v>
      </c>
      <c r="O89">
        <v>24403</v>
      </c>
      <c r="P89">
        <v>24403</v>
      </c>
      <c r="Q89">
        <v>142247</v>
      </c>
    </row>
    <row r="90" spans="3:19" x14ac:dyDescent="0.3">
      <c r="C90">
        <v>7</v>
      </c>
      <c r="D90">
        <v>642</v>
      </c>
      <c r="E90">
        <v>4</v>
      </c>
      <c r="I90">
        <v>516</v>
      </c>
      <c r="J90">
        <v>59</v>
      </c>
      <c r="O90">
        <v>29452</v>
      </c>
      <c r="P90">
        <v>29452</v>
      </c>
      <c r="Q90">
        <v>159109</v>
      </c>
    </row>
    <row r="91" spans="3:19" x14ac:dyDescent="0.3">
      <c r="C91">
        <v>7</v>
      </c>
      <c r="D91" t="s">
        <v>2682</v>
      </c>
      <c r="E91">
        <v>1</v>
      </c>
      <c r="I91">
        <v>176</v>
      </c>
      <c r="O91">
        <v>8363</v>
      </c>
      <c r="P91">
        <v>8363</v>
      </c>
      <c r="Q91">
        <v>38593</v>
      </c>
    </row>
    <row r="92" spans="3:19" x14ac:dyDescent="0.3">
      <c r="C92">
        <v>7</v>
      </c>
      <c r="D92">
        <v>30</v>
      </c>
      <c r="E92">
        <v>1</v>
      </c>
      <c r="I92">
        <v>176</v>
      </c>
      <c r="O92">
        <v>8363</v>
      </c>
      <c r="P92">
        <v>8363</v>
      </c>
      <c r="Q92">
        <v>38593</v>
      </c>
    </row>
    <row r="93" spans="3:19" x14ac:dyDescent="0.3">
      <c r="C93" t="s">
        <v>2689</v>
      </c>
      <c r="E93">
        <v>62.25</v>
      </c>
      <c r="I93">
        <v>7688.62</v>
      </c>
      <c r="J93">
        <v>492.9</v>
      </c>
      <c r="K93">
        <v>180.18999999999997</v>
      </c>
      <c r="L93">
        <v>36</v>
      </c>
      <c r="O93">
        <v>860303</v>
      </c>
      <c r="P93">
        <v>860303</v>
      </c>
      <c r="Q93">
        <v>4102621</v>
      </c>
      <c r="S93">
        <v>6924.7202623981811</v>
      </c>
    </row>
    <row r="94" spans="3:19" x14ac:dyDescent="0.3">
      <c r="C94">
        <v>8</v>
      </c>
      <c r="D94" t="s">
        <v>241</v>
      </c>
      <c r="E94">
        <v>8.5</v>
      </c>
      <c r="I94">
        <v>1197.75</v>
      </c>
      <c r="J94">
        <v>100</v>
      </c>
      <c r="Q94">
        <v>737602</v>
      </c>
      <c r="S94">
        <v>1924.7202623981809</v>
      </c>
    </row>
    <row r="95" spans="3:19" x14ac:dyDescent="0.3">
      <c r="C95">
        <v>8</v>
      </c>
      <c r="D95">
        <v>99</v>
      </c>
      <c r="S95">
        <v>1924.7202623981809</v>
      </c>
    </row>
    <row r="96" spans="3:19" x14ac:dyDescent="0.3">
      <c r="C96">
        <v>8</v>
      </c>
      <c r="D96">
        <v>101</v>
      </c>
      <c r="E96">
        <v>8.5</v>
      </c>
      <c r="I96">
        <v>1197.75</v>
      </c>
      <c r="J96">
        <v>100</v>
      </c>
      <c r="Q96">
        <v>737602</v>
      </c>
    </row>
    <row r="97" spans="3:19" x14ac:dyDescent="0.3">
      <c r="C97">
        <v>8</v>
      </c>
      <c r="D97" t="s">
        <v>2681</v>
      </c>
      <c r="E97">
        <v>53.75</v>
      </c>
      <c r="I97">
        <v>6621.1</v>
      </c>
      <c r="J97">
        <v>356</v>
      </c>
      <c r="K97">
        <v>105.03</v>
      </c>
      <c r="L97">
        <v>12</v>
      </c>
      <c r="O97">
        <v>5000</v>
      </c>
      <c r="P97">
        <v>5000</v>
      </c>
      <c r="Q97">
        <v>2362886</v>
      </c>
      <c r="S97">
        <v>5000</v>
      </c>
    </row>
    <row r="98" spans="3:19" x14ac:dyDescent="0.3">
      <c r="C98">
        <v>8</v>
      </c>
      <c r="D98">
        <v>303</v>
      </c>
      <c r="E98">
        <v>8</v>
      </c>
      <c r="I98">
        <v>1126.5</v>
      </c>
      <c r="J98">
        <v>28</v>
      </c>
      <c r="K98">
        <v>19.5</v>
      </c>
      <c r="Q98">
        <v>277561</v>
      </c>
      <c r="S98">
        <v>5000</v>
      </c>
    </row>
    <row r="99" spans="3:19" x14ac:dyDescent="0.3">
      <c r="C99">
        <v>8</v>
      </c>
      <c r="D99">
        <v>304</v>
      </c>
      <c r="E99">
        <v>26.75</v>
      </c>
      <c r="I99">
        <v>3265.95</v>
      </c>
      <c r="J99">
        <v>128</v>
      </c>
      <c r="K99">
        <v>74.28</v>
      </c>
      <c r="L99">
        <v>12</v>
      </c>
      <c r="O99">
        <v>5000</v>
      </c>
      <c r="P99">
        <v>5000</v>
      </c>
      <c r="Q99">
        <v>1248963</v>
      </c>
    </row>
    <row r="100" spans="3:19" x14ac:dyDescent="0.3">
      <c r="C100">
        <v>8</v>
      </c>
      <c r="D100">
        <v>305</v>
      </c>
      <c r="E100">
        <v>12</v>
      </c>
      <c r="I100">
        <v>1365.65</v>
      </c>
      <c r="J100">
        <v>36</v>
      </c>
      <c r="K100">
        <v>11.25</v>
      </c>
      <c r="Q100">
        <v>580571</v>
      </c>
    </row>
    <row r="101" spans="3:19" x14ac:dyDescent="0.3">
      <c r="C101">
        <v>8</v>
      </c>
      <c r="D101">
        <v>636</v>
      </c>
      <c r="E101">
        <v>3</v>
      </c>
      <c r="I101">
        <v>346.5</v>
      </c>
      <c r="J101">
        <v>83</v>
      </c>
      <c r="Q101">
        <v>125229</v>
      </c>
    </row>
    <row r="102" spans="3:19" x14ac:dyDescent="0.3">
      <c r="C102">
        <v>8</v>
      </c>
      <c r="D102">
        <v>642</v>
      </c>
      <c r="E102">
        <v>4</v>
      </c>
      <c r="I102">
        <v>516.5</v>
      </c>
      <c r="J102">
        <v>81</v>
      </c>
      <c r="Q102">
        <v>130562</v>
      </c>
    </row>
    <row r="103" spans="3:19" x14ac:dyDescent="0.3">
      <c r="C103">
        <v>8</v>
      </c>
      <c r="D103" t="s">
        <v>2682</v>
      </c>
      <c r="E103">
        <v>1</v>
      </c>
      <c r="I103">
        <v>152</v>
      </c>
      <c r="Q103">
        <v>30528</v>
      </c>
    </row>
    <row r="104" spans="3:19" x14ac:dyDescent="0.3">
      <c r="C104">
        <v>8</v>
      </c>
      <c r="D104">
        <v>30</v>
      </c>
      <c r="E104">
        <v>1</v>
      </c>
      <c r="I104">
        <v>152</v>
      </c>
      <c r="Q104">
        <v>30528</v>
      </c>
    </row>
    <row r="105" spans="3:19" x14ac:dyDescent="0.3">
      <c r="C105" t="s">
        <v>2690</v>
      </c>
      <c r="E105">
        <v>63.25</v>
      </c>
      <c r="I105">
        <v>7970.85</v>
      </c>
      <c r="J105">
        <v>456</v>
      </c>
      <c r="K105">
        <v>105.03</v>
      </c>
      <c r="L105">
        <v>12</v>
      </c>
      <c r="O105">
        <v>5000</v>
      </c>
      <c r="P105">
        <v>5000</v>
      </c>
      <c r="Q105">
        <v>3131016</v>
      </c>
      <c r="S105">
        <v>6924.7202623981811</v>
      </c>
    </row>
    <row r="106" spans="3:19" x14ac:dyDescent="0.3">
      <c r="C106">
        <v>9</v>
      </c>
      <c r="D106" t="s">
        <v>241</v>
      </c>
      <c r="E106">
        <v>8.8000000000000007</v>
      </c>
      <c r="I106">
        <v>1204.74</v>
      </c>
      <c r="J106">
        <v>76</v>
      </c>
      <c r="K106">
        <v>5</v>
      </c>
      <c r="Q106">
        <v>738924</v>
      </c>
      <c r="S106">
        <v>1924.7202623981809</v>
      </c>
    </row>
    <row r="107" spans="3:19" x14ac:dyDescent="0.3">
      <c r="C107">
        <v>9</v>
      </c>
      <c r="D107">
        <v>99</v>
      </c>
      <c r="S107">
        <v>1924.7202623981809</v>
      </c>
    </row>
    <row r="108" spans="3:19" x14ac:dyDescent="0.3">
      <c r="C108">
        <v>9</v>
      </c>
      <c r="D108">
        <v>101</v>
      </c>
      <c r="E108">
        <v>8.8000000000000007</v>
      </c>
      <c r="I108">
        <v>1204.74</v>
      </c>
      <c r="J108">
        <v>76</v>
      </c>
      <c r="K108">
        <v>5</v>
      </c>
      <c r="Q108">
        <v>738924</v>
      </c>
    </row>
    <row r="109" spans="3:19" x14ac:dyDescent="0.3">
      <c r="C109">
        <v>9</v>
      </c>
      <c r="D109" t="s">
        <v>2681</v>
      </c>
      <c r="E109">
        <v>54</v>
      </c>
      <c r="I109">
        <v>6826.12</v>
      </c>
      <c r="J109">
        <v>876.52</v>
      </c>
      <c r="K109">
        <v>187.55</v>
      </c>
      <c r="L109">
        <v>12</v>
      </c>
      <c r="Q109">
        <v>2682951</v>
      </c>
      <c r="S109">
        <v>5000</v>
      </c>
    </row>
    <row r="110" spans="3:19" x14ac:dyDescent="0.3">
      <c r="C110">
        <v>9</v>
      </c>
      <c r="D110">
        <v>303</v>
      </c>
      <c r="E110">
        <v>9</v>
      </c>
      <c r="I110">
        <v>1128</v>
      </c>
      <c r="J110">
        <v>154</v>
      </c>
      <c r="K110">
        <v>49.5</v>
      </c>
      <c r="Q110">
        <v>375284</v>
      </c>
      <c r="S110">
        <v>5000</v>
      </c>
    </row>
    <row r="111" spans="3:19" x14ac:dyDescent="0.3">
      <c r="C111">
        <v>9</v>
      </c>
      <c r="D111">
        <v>304</v>
      </c>
      <c r="E111">
        <v>26</v>
      </c>
      <c r="I111">
        <v>3144.08</v>
      </c>
      <c r="J111">
        <v>421.52</v>
      </c>
      <c r="K111">
        <v>98.94</v>
      </c>
      <c r="L111">
        <v>12</v>
      </c>
      <c r="Q111">
        <v>1403436</v>
      </c>
    </row>
    <row r="112" spans="3:19" x14ac:dyDescent="0.3">
      <c r="C112">
        <v>9</v>
      </c>
      <c r="D112">
        <v>305</v>
      </c>
      <c r="E112">
        <v>12</v>
      </c>
      <c r="I112">
        <v>1600.04</v>
      </c>
      <c r="J112">
        <v>180</v>
      </c>
      <c r="K112">
        <v>39.11</v>
      </c>
      <c r="Q112">
        <v>652308</v>
      </c>
    </row>
    <row r="113" spans="3:19" x14ac:dyDescent="0.3">
      <c r="C113">
        <v>9</v>
      </c>
      <c r="D113">
        <v>636</v>
      </c>
      <c r="E113">
        <v>3</v>
      </c>
      <c r="I113">
        <v>414</v>
      </c>
      <c r="J113">
        <v>79</v>
      </c>
      <c r="Q113">
        <v>123508</v>
      </c>
    </row>
    <row r="114" spans="3:19" x14ac:dyDescent="0.3">
      <c r="C114">
        <v>9</v>
      </c>
      <c r="D114">
        <v>642</v>
      </c>
      <c r="E114">
        <v>4</v>
      </c>
      <c r="I114">
        <v>540</v>
      </c>
      <c r="J114">
        <v>42</v>
      </c>
      <c r="Q114">
        <v>128415</v>
      </c>
    </row>
    <row r="115" spans="3:19" x14ac:dyDescent="0.3">
      <c r="C115">
        <v>9</v>
      </c>
      <c r="D115" t="s">
        <v>2682</v>
      </c>
      <c r="E115">
        <v>1</v>
      </c>
      <c r="I115">
        <v>160</v>
      </c>
      <c r="Q115">
        <v>30230</v>
      </c>
    </row>
    <row r="116" spans="3:19" x14ac:dyDescent="0.3">
      <c r="C116">
        <v>9</v>
      </c>
      <c r="D116">
        <v>30</v>
      </c>
      <c r="E116">
        <v>1</v>
      </c>
      <c r="I116">
        <v>160</v>
      </c>
      <c r="Q116">
        <v>30230</v>
      </c>
    </row>
    <row r="117" spans="3:19" x14ac:dyDescent="0.3">
      <c r="C117" t="s">
        <v>2691</v>
      </c>
      <c r="E117">
        <v>63.8</v>
      </c>
      <c r="I117">
        <v>8190.86</v>
      </c>
      <c r="J117">
        <v>952.52</v>
      </c>
      <c r="K117">
        <v>192.55</v>
      </c>
      <c r="L117">
        <v>12</v>
      </c>
      <c r="Q117">
        <v>3452105</v>
      </c>
      <c r="S117">
        <v>6924.7202623981811</v>
      </c>
    </row>
    <row r="118" spans="3:19" x14ac:dyDescent="0.3">
      <c r="C118">
        <v>10</v>
      </c>
      <c r="D118" t="s">
        <v>241</v>
      </c>
      <c r="E118">
        <v>8.8000000000000007</v>
      </c>
      <c r="I118">
        <v>1506</v>
      </c>
      <c r="J118">
        <v>93</v>
      </c>
      <c r="K118">
        <v>1</v>
      </c>
      <c r="Q118">
        <v>750271</v>
      </c>
      <c r="S118">
        <v>1924.7202623981809</v>
      </c>
    </row>
    <row r="119" spans="3:19" x14ac:dyDescent="0.3">
      <c r="C119">
        <v>10</v>
      </c>
      <c r="D119">
        <v>99</v>
      </c>
      <c r="S119">
        <v>1924.7202623981809</v>
      </c>
    </row>
    <row r="120" spans="3:19" x14ac:dyDescent="0.3">
      <c r="C120">
        <v>10</v>
      </c>
      <c r="D120">
        <v>101</v>
      </c>
      <c r="E120">
        <v>8.8000000000000007</v>
      </c>
      <c r="I120">
        <v>1506</v>
      </c>
      <c r="J120">
        <v>93</v>
      </c>
      <c r="K120">
        <v>1</v>
      </c>
      <c r="Q120">
        <v>750271</v>
      </c>
    </row>
    <row r="121" spans="3:19" x14ac:dyDescent="0.3">
      <c r="C121">
        <v>10</v>
      </c>
      <c r="D121" t="s">
        <v>2681</v>
      </c>
      <c r="E121">
        <v>53.75</v>
      </c>
      <c r="I121">
        <v>8201.0499999999993</v>
      </c>
      <c r="J121">
        <v>335</v>
      </c>
      <c r="K121">
        <v>120.78</v>
      </c>
      <c r="L121">
        <v>12</v>
      </c>
      <c r="O121">
        <v>13004</v>
      </c>
      <c r="P121">
        <v>13004</v>
      </c>
      <c r="Q121">
        <v>2342007</v>
      </c>
      <c r="R121">
        <v>9397</v>
      </c>
      <c r="S121">
        <v>5000</v>
      </c>
    </row>
    <row r="122" spans="3:19" x14ac:dyDescent="0.3">
      <c r="C122">
        <v>10</v>
      </c>
      <c r="D122">
        <v>303</v>
      </c>
      <c r="E122">
        <v>9.75</v>
      </c>
      <c r="I122">
        <v>1509.4</v>
      </c>
      <c r="J122">
        <v>57</v>
      </c>
      <c r="K122">
        <v>9.75</v>
      </c>
      <c r="Q122">
        <v>330931</v>
      </c>
      <c r="R122">
        <v>9397</v>
      </c>
      <c r="S122">
        <v>5000</v>
      </c>
    </row>
    <row r="123" spans="3:19" x14ac:dyDescent="0.3">
      <c r="C123">
        <v>10</v>
      </c>
      <c r="D123">
        <v>304</v>
      </c>
      <c r="E123">
        <v>25</v>
      </c>
      <c r="I123">
        <v>3753.1</v>
      </c>
      <c r="J123">
        <v>141</v>
      </c>
      <c r="K123">
        <v>74.930000000000007</v>
      </c>
      <c r="L123">
        <v>12</v>
      </c>
      <c r="O123">
        <v>13004</v>
      </c>
      <c r="P123">
        <v>13004</v>
      </c>
      <c r="Q123">
        <v>1174272</v>
      </c>
    </row>
    <row r="124" spans="3:19" x14ac:dyDescent="0.3">
      <c r="C124">
        <v>10</v>
      </c>
      <c r="D124">
        <v>305</v>
      </c>
      <c r="E124">
        <v>12</v>
      </c>
      <c r="I124">
        <v>1821.05</v>
      </c>
      <c r="J124">
        <v>53</v>
      </c>
      <c r="K124">
        <v>36.1</v>
      </c>
      <c r="Q124">
        <v>596009</v>
      </c>
    </row>
    <row r="125" spans="3:19" x14ac:dyDescent="0.3">
      <c r="C125">
        <v>10</v>
      </c>
      <c r="D125">
        <v>636</v>
      </c>
      <c r="E125">
        <v>3</v>
      </c>
      <c r="I125">
        <v>517.5</v>
      </c>
      <c r="J125">
        <v>50</v>
      </c>
      <c r="Q125">
        <v>117004</v>
      </c>
    </row>
    <row r="126" spans="3:19" x14ac:dyDescent="0.3">
      <c r="C126">
        <v>10</v>
      </c>
      <c r="D126">
        <v>642</v>
      </c>
      <c r="E126">
        <v>4</v>
      </c>
      <c r="I126">
        <v>600</v>
      </c>
      <c r="J126">
        <v>34</v>
      </c>
      <c r="Q126">
        <v>123791</v>
      </c>
    </row>
    <row r="127" spans="3:19" x14ac:dyDescent="0.3">
      <c r="C127">
        <v>10</v>
      </c>
      <c r="D127" t="s">
        <v>2682</v>
      </c>
      <c r="E127">
        <v>1</v>
      </c>
      <c r="I127">
        <v>144</v>
      </c>
      <c r="Q127">
        <v>30983</v>
      </c>
    </row>
    <row r="128" spans="3:19" x14ac:dyDescent="0.3">
      <c r="C128">
        <v>10</v>
      </c>
      <c r="D128">
        <v>30</v>
      </c>
      <c r="E128">
        <v>1</v>
      </c>
      <c r="I128">
        <v>144</v>
      </c>
      <c r="Q128">
        <v>30983</v>
      </c>
    </row>
    <row r="129" spans="3:19" x14ac:dyDescent="0.3">
      <c r="C129" t="s">
        <v>2692</v>
      </c>
      <c r="E129">
        <v>63.55</v>
      </c>
      <c r="I129">
        <v>9851.0499999999993</v>
      </c>
      <c r="J129">
        <v>428</v>
      </c>
      <c r="K129">
        <v>121.78</v>
      </c>
      <c r="L129">
        <v>12</v>
      </c>
      <c r="O129">
        <v>13004</v>
      </c>
      <c r="P129">
        <v>13004</v>
      </c>
      <c r="Q129">
        <v>3123261</v>
      </c>
      <c r="R129">
        <v>9397</v>
      </c>
      <c r="S129">
        <v>6924.7202623981811</v>
      </c>
    </row>
    <row r="130" spans="3:19" x14ac:dyDescent="0.3">
      <c r="C130">
        <v>11</v>
      </c>
      <c r="D130" t="s">
        <v>241</v>
      </c>
      <c r="E130">
        <v>8.8000000000000007</v>
      </c>
      <c r="I130">
        <v>1452</v>
      </c>
      <c r="J130">
        <v>134</v>
      </c>
      <c r="K130">
        <v>19</v>
      </c>
      <c r="O130">
        <v>111267</v>
      </c>
      <c r="P130">
        <v>111267</v>
      </c>
      <c r="Q130">
        <v>893961</v>
      </c>
      <c r="S130">
        <v>1924.7202623981809</v>
      </c>
    </row>
    <row r="131" spans="3:19" x14ac:dyDescent="0.3">
      <c r="C131">
        <v>11</v>
      </c>
      <c r="D131">
        <v>99</v>
      </c>
      <c r="S131">
        <v>1924.7202623981809</v>
      </c>
    </row>
    <row r="132" spans="3:19" x14ac:dyDescent="0.3">
      <c r="C132">
        <v>11</v>
      </c>
      <c r="D132">
        <v>101</v>
      </c>
      <c r="E132">
        <v>8.8000000000000007</v>
      </c>
      <c r="I132">
        <v>1452</v>
      </c>
      <c r="J132">
        <v>134</v>
      </c>
      <c r="K132">
        <v>19</v>
      </c>
      <c r="O132">
        <v>111267</v>
      </c>
      <c r="P132">
        <v>111267</v>
      </c>
      <c r="Q132">
        <v>893961</v>
      </c>
    </row>
    <row r="133" spans="3:19" x14ac:dyDescent="0.3">
      <c r="C133">
        <v>11</v>
      </c>
      <c r="D133" t="s">
        <v>2681</v>
      </c>
      <c r="E133">
        <v>53.75</v>
      </c>
      <c r="I133">
        <v>7536.39</v>
      </c>
      <c r="J133">
        <v>600.5</v>
      </c>
      <c r="K133">
        <v>145.72999999999999</v>
      </c>
      <c r="O133">
        <v>591356</v>
      </c>
      <c r="P133">
        <v>591356</v>
      </c>
      <c r="Q133">
        <v>3011725</v>
      </c>
      <c r="S133">
        <v>5000</v>
      </c>
    </row>
    <row r="134" spans="3:19" x14ac:dyDescent="0.3">
      <c r="C134">
        <v>11</v>
      </c>
      <c r="D134">
        <v>303</v>
      </c>
      <c r="E134">
        <v>9.75</v>
      </c>
      <c r="I134">
        <v>1332.77</v>
      </c>
      <c r="J134">
        <v>106</v>
      </c>
      <c r="K134">
        <v>42</v>
      </c>
      <c r="O134">
        <v>77370</v>
      </c>
      <c r="P134">
        <v>77370</v>
      </c>
      <c r="Q134">
        <v>455738</v>
      </c>
      <c r="S134">
        <v>5000</v>
      </c>
    </row>
    <row r="135" spans="3:19" x14ac:dyDescent="0.3">
      <c r="C135">
        <v>11</v>
      </c>
      <c r="D135">
        <v>304</v>
      </c>
      <c r="E135">
        <v>25</v>
      </c>
      <c r="I135">
        <v>3439.58</v>
      </c>
      <c r="J135">
        <v>300</v>
      </c>
      <c r="K135">
        <v>67.5</v>
      </c>
      <c r="O135">
        <v>285658</v>
      </c>
      <c r="P135">
        <v>285658</v>
      </c>
      <c r="Q135">
        <v>1465855</v>
      </c>
    </row>
    <row r="136" spans="3:19" x14ac:dyDescent="0.3">
      <c r="C136">
        <v>11</v>
      </c>
      <c r="D136">
        <v>305</v>
      </c>
      <c r="E136">
        <v>12</v>
      </c>
      <c r="I136">
        <v>1669.04</v>
      </c>
      <c r="J136">
        <v>145.5</v>
      </c>
      <c r="K136">
        <v>36.229999999999997</v>
      </c>
      <c r="O136">
        <v>171909</v>
      </c>
      <c r="P136">
        <v>171909</v>
      </c>
      <c r="Q136">
        <v>804601</v>
      </c>
    </row>
    <row r="137" spans="3:19" x14ac:dyDescent="0.3">
      <c r="C137">
        <v>11</v>
      </c>
      <c r="D137">
        <v>636</v>
      </c>
      <c r="E137">
        <v>3</v>
      </c>
      <c r="I137">
        <v>471</v>
      </c>
      <c r="J137">
        <v>18</v>
      </c>
      <c r="O137">
        <v>26511</v>
      </c>
      <c r="P137">
        <v>26511</v>
      </c>
      <c r="Q137">
        <v>131687</v>
      </c>
    </row>
    <row r="138" spans="3:19" x14ac:dyDescent="0.3">
      <c r="C138">
        <v>11</v>
      </c>
      <c r="D138">
        <v>642</v>
      </c>
      <c r="E138">
        <v>4</v>
      </c>
      <c r="I138">
        <v>624</v>
      </c>
      <c r="J138">
        <v>31</v>
      </c>
      <c r="O138">
        <v>29908</v>
      </c>
      <c r="P138">
        <v>29908</v>
      </c>
      <c r="Q138">
        <v>153844</v>
      </c>
    </row>
    <row r="139" spans="3:19" x14ac:dyDescent="0.3">
      <c r="C139">
        <v>11</v>
      </c>
      <c r="D139" t="s">
        <v>2682</v>
      </c>
      <c r="E139">
        <v>1</v>
      </c>
      <c r="I139">
        <v>176</v>
      </c>
      <c r="O139">
        <v>8364</v>
      </c>
      <c r="P139">
        <v>8364</v>
      </c>
      <c r="Q139">
        <v>38594</v>
      </c>
    </row>
    <row r="140" spans="3:19" x14ac:dyDescent="0.3">
      <c r="C140">
        <v>11</v>
      </c>
      <c r="D140">
        <v>30</v>
      </c>
      <c r="E140">
        <v>1</v>
      </c>
      <c r="I140">
        <v>176</v>
      </c>
      <c r="O140">
        <v>8364</v>
      </c>
      <c r="P140">
        <v>8364</v>
      </c>
      <c r="Q140">
        <v>38594</v>
      </c>
    </row>
    <row r="141" spans="3:19" x14ac:dyDescent="0.3">
      <c r="C141" t="s">
        <v>2693</v>
      </c>
      <c r="E141">
        <v>63.55</v>
      </c>
      <c r="I141">
        <v>9164.39</v>
      </c>
      <c r="J141">
        <v>734.5</v>
      </c>
      <c r="K141">
        <v>164.73</v>
      </c>
      <c r="O141">
        <v>710987</v>
      </c>
      <c r="P141">
        <v>710987</v>
      </c>
      <c r="Q141">
        <v>3944280</v>
      </c>
      <c r="S141">
        <v>6924.7202623981811</v>
      </c>
    </row>
    <row r="142" spans="3:19" x14ac:dyDescent="0.3">
      <c r="C142">
        <v>12</v>
      </c>
      <c r="D142" t="s">
        <v>241</v>
      </c>
      <c r="E142">
        <v>8.8000000000000007</v>
      </c>
      <c r="I142">
        <v>1108.25</v>
      </c>
      <c r="J142">
        <v>176</v>
      </c>
      <c r="K142">
        <v>34</v>
      </c>
      <c r="O142">
        <v>247084</v>
      </c>
      <c r="P142">
        <v>247084</v>
      </c>
      <c r="Q142">
        <v>1112605</v>
      </c>
      <c r="S142">
        <v>1924.7202623981809</v>
      </c>
    </row>
    <row r="143" spans="3:19" x14ac:dyDescent="0.3">
      <c r="C143">
        <v>12</v>
      </c>
      <c r="D143">
        <v>99</v>
      </c>
      <c r="S143">
        <v>1924.7202623981809</v>
      </c>
    </row>
    <row r="144" spans="3:19" x14ac:dyDescent="0.3">
      <c r="C144">
        <v>12</v>
      </c>
      <c r="D144">
        <v>101</v>
      </c>
      <c r="E144">
        <v>8.8000000000000007</v>
      </c>
      <c r="I144">
        <v>1108.25</v>
      </c>
      <c r="J144">
        <v>176</v>
      </c>
      <c r="K144">
        <v>34</v>
      </c>
      <c r="O144">
        <v>247084</v>
      </c>
      <c r="P144">
        <v>247084</v>
      </c>
      <c r="Q144">
        <v>1112605</v>
      </c>
    </row>
    <row r="145" spans="3:19" x14ac:dyDescent="0.3">
      <c r="C145">
        <v>12</v>
      </c>
      <c r="D145" t="s">
        <v>2681</v>
      </c>
      <c r="E145">
        <v>53.75</v>
      </c>
      <c r="I145">
        <v>7069.8</v>
      </c>
      <c r="J145">
        <v>296</v>
      </c>
      <c r="K145">
        <v>96.12</v>
      </c>
      <c r="O145">
        <v>13496</v>
      </c>
      <c r="P145">
        <v>13496</v>
      </c>
      <c r="Q145">
        <v>2367943</v>
      </c>
      <c r="S145">
        <v>5000</v>
      </c>
    </row>
    <row r="146" spans="3:19" x14ac:dyDescent="0.3">
      <c r="C146">
        <v>12</v>
      </c>
      <c r="D146">
        <v>303</v>
      </c>
      <c r="E146">
        <v>8.75</v>
      </c>
      <c r="I146">
        <v>1258.1500000000001</v>
      </c>
      <c r="J146">
        <v>14.5</v>
      </c>
      <c r="K146">
        <v>31.56</v>
      </c>
      <c r="Q146">
        <v>339243</v>
      </c>
      <c r="S146">
        <v>5000</v>
      </c>
    </row>
    <row r="147" spans="3:19" x14ac:dyDescent="0.3">
      <c r="C147">
        <v>12</v>
      </c>
      <c r="D147">
        <v>304</v>
      </c>
      <c r="E147">
        <v>25</v>
      </c>
      <c r="I147">
        <v>3225.1</v>
      </c>
      <c r="J147">
        <v>153</v>
      </c>
      <c r="K147">
        <v>61.83</v>
      </c>
      <c r="O147">
        <v>8998</v>
      </c>
      <c r="P147">
        <v>8998</v>
      </c>
      <c r="Q147">
        <v>1161834</v>
      </c>
    </row>
    <row r="148" spans="3:19" x14ac:dyDescent="0.3">
      <c r="C148">
        <v>12</v>
      </c>
      <c r="D148">
        <v>305</v>
      </c>
      <c r="E148">
        <v>13</v>
      </c>
      <c r="I148">
        <v>1607.05</v>
      </c>
      <c r="J148">
        <v>66.5</v>
      </c>
      <c r="K148">
        <v>2.73</v>
      </c>
      <c r="O148">
        <v>4498</v>
      </c>
      <c r="P148">
        <v>4498</v>
      </c>
      <c r="Q148">
        <v>621688</v>
      </c>
    </row>
    <row r="149" spans="3:19" x14ac:dyDescent="0.3">
      <c r="C149">
        <v>12</v>
      </c>
      <c r="D149">
        <v>636</v>
      </c>
      <c r="E149">
        <v>3</v>
      </c>
      <c r="I149">
        <v>397.5</v>
      </c>
      <c r="J149">
        <v>12.5</v>
      </c>
      <c r="Q149">
        <v>107914</v>
      </c>
    </row>
    <row r="150" spans="3:19" x14ac:dyDescent="0.3">
      <c r="C150">
        <v>12</v>
      </c>
      <c r="D150">
        <v>642</v>
      </c>
      <c r="E150">
        <v>4</v>
      </c>
      <c r="I150">
        <v>582</v>
      </c>
      <c r="J150">
        <v>49.5</v>
      </c>
      <c r="Q150">
        <v>137264</v>
      </c>
    </row>
    <row r="151" spans="3:19" x14ac:dyDescent="0.3">
      <c r="C151">
        <v>12</v>
      </c>
      <c r="D151" t="s">
        <v>2682</v>
      </c>
      <c r="E151">
        <v>1</v>
      </c>
      <c r="I151">
        <v>144</v>
      </c>
      <c r="Q151">
        <v>30307</v>
      </c>
    </row>
    <row r="152" spans="3:19" x14ac:dyDescent="0.3">
      <c r="C152">
        <v>12</v>
      </c>
      <c r="D152">
        <v>30</v>
      </c>
      <c r="E152">
        <v>1</v>
      </c>
      <c r="I152">
        <v>144</v>
      </c>
      <c r="Q152">
        <v>30307</v>
      </c>
    </row>
    <row r="153" spans="3:19" x14ac:dyDescent="0.3">
      <c r="C153" t="s">
        <v>2694</v>
      </c>
      <c r="E153">
        <v>63.55</v>
      </c>
      <c r="I153">
        <v>8322.0499999999993</v>
      </c>
      <c r="J153">
        <v>472</v>
      </c>
      <c r="K153">
        <v>130.12</v>
      </c>
      <c r="O153">
        <v>260580</v>
      </c>
      <c r="P153">
        <v>260580</v>
      </c>
      <c r="Q153">
        <v>3510855</v>
      </c>
      <c r="S153">
        <v>6924.7202623981811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31" bestFit="1" customWidth="1" collapsed="1"/>
    <col min="2" max="2" width="7.77734375" style="199" hidden="1" customWidth="1" outlineLevel="1"/>
    <col min="3" max="3" width="0.109375" style="231" hidden="1" customWidth="1"/>
    <col min="4" max="4" width="7.77734375" style="199" customWidth="1"/>
    <col min="5" max="5" width="5.4414062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5.44140625" style="231" hidden="1" customWidth="1"/>
    <col min="10" max="10" width="7.77734375" style="199" customWidth="1"/>
    <col min="11" max="11" width="5.44140625" style="231" hidden="1" customWidth="1"/>
    <col min="12" max="12" width="7.77734375" style="199" customWidth="1"/>
    <col min="13" max="13" width="7.77734375" style="313" customWidth="1" collapsed="1"/>
    <col min="14" max="14" width="7.77734375" style="199" hidden="1" customWidth="1" outlineLevel="1"/>
    <col min="15" max="15" width="5" style="231" hidden="1" customWidth="1"/>
    <col min="16" max="16" width="7.77734375" style="199" customWidth="1"/>
    <col min="17" max="17" width="5" style="231" hidden="1" customWidth="1"/>
    <col min="18" max="18" width="7.77734375" style="199" customWidth="1"/>
    <col min="19" max="19" width="7.77734375" style="313" customWidth="1"/>
    <col min="20" max="16384" width="8.88671875" style="231"/>
  </cols>
  <sheetData>
    <row r="1" spans="1:19" ht="18.600000000000001" customHeight="1" thickBot="1" x14ac:dyDescent="0.4">
      <c r="A1" s="494" t="s">
        <v>139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</row>
    <row r="2" spans="1:19" ht="14.4" customHeight="1" thickBot="1" x14ac:dyDescent="0.35">
      <c r="A2" s="348" t="s">
        <v>297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  <c r="N2" s="325"/>
      <c r="O2" s="204"/>
      <c r="P2" s="325"/>
      <c r="Q2" s="204"/>
      <c r="R2" s="325"/>
      <c r="S2" s="326"/>
    </row>
    <row r="3" spans="1:19" ht="14.4" customHeight="1" thickBot="1" x14ac:dyDescent="0.35">
      <c r="A3" s="319" t="s">
        <v>141</v>
      </c>
      <c r="B3" s="320">
        <f>SUBTOTAL(9,B6:B1048576)</f>
        <v>46306782</v>
      </c>
      <c r="C3" s="321">
        <f t="shared" ref="C3:R3" si="0">SUBTOTAL(9,C6:C1048576)</f>
        <v>0.95890483294441975</v>
      </c>
      <c r="D3" s="321">
        <f t="shared" si="0"/>
        <v>48290934</v>
      </c>
      <c r="E3" s="321">
        <f t="shared" si="0"/>
        <v>1</v>
      </c>
      <c r="F3" s="321">
        <f t="shared" si="0"/>
        <v>49587176</v>
      </c>
      <c r="G3" s="324">
        <f>IF(D3&lt;&gt;0,F3/D3,"")</f>
        <v>1.0268423468471328</v>
      </c>
      <c r="H3" s="320">
        <f t="shared" si="0"/>
        <v>12957114.43</v>
      </c>
      <c r="I3" s="321">
        <f t="shared" si="0"/>
        <v>1.2174119613723109</v>
      </c>
      <c r="J3" s="321">
        <f t="shared" si="0"/>
        <v>10643163.400000006</v>
      </c>
      <c r="K3" s="321">
        <f t="shared" si="0"/>
        <v>1</v>
      </c>
      <c r="L3" s="321">
        <f t="shared" si="0"/>
        <v>9924879.9700000007</v>
      </c>
      <c r="M3" s="322">
        <f>IF(J3&lt;&gt;0,L3/J3,"")</f>
        <v>0.93251222376234444</v>
      </c>
      <c r="N3" s="323">
        <f t="shared" si="0"/>
        <v>0</v>
      </c>
      <c r="O3" s="321">
        <f t="shared" si="0"/>
        <v>0</v>
      </c>
      <c r="P3" s="321">
        <f t="shared" si="0"/>
        <v>0</v>
      </c>
      <c r="Q3" s="321">
        <f t="shared" si="0"/>
        <v>0</v>
      </c>
      <c r="R3" s="321">
        <f t="shared" si="0"/>
        <v>0</v>
      </c>
      <c r="S3" s="322" t="str">
        <f>IF(P3&lt;&gt;0,R3/P3,"")</f>
        <v/>
      </c>
    </row>
    <row r="4" spans="1:19" ht="14.4" customHeight="1" x14ac:dyDescent="0.3">
      <c r="A4" s="577" t="s">
        <v>115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  <c r="N4" s="578" t="s">
        <v>111</v>
      </c>
      <c r="O4" s="579"/>
      <c r="P4" s="579"/>
      <c r="Q4" s="579"/>
      <c r="R4" s="579"/>
      <c r="S4" s="581"/>
    </row>
    <row r="5" spans="1:19" ht="14.4" customHeight="1" thickBot="1" x14ac:dyDescent="0.35">
      <c r="A5" s="749"/>
      <c r="B5" s="750">
        <v>2015</v>
      </c>
      <c r="C5" s="751"/>
      <c r="D5" s="751">
        <v>2017</v>
      </c>
      <c r="E5" s="751"/>
      <c r="F5" s="751">
        <v>2018</v>
      </c>
      <c r="G5" s="752" t="s">
        <v>2</v>
      </c>
      <c r="H5" s="750">
        <v>2015</v>
      </c>
      <c r="I5" s="751"/>
      <c r="J5" s="751">
        <v>2017</v>
      </c>
      <c r="K5" s="751"/>
      <c r="L5" s="751">
        <v>2018</v>
      </c>
      <c r="M5" s="752" t="s">
        <v>2</v>
      </c>
      <c r="N5" s="750">
        <v>2015</v>
      </c>
      <c r="O5" s="751"/>
      <c r="P5" s="751">
        <v>2017</v>
      </c>
      <c r="Q5" s="751"/>
      <c r="R5" s="751">
        <v>2018</v>
      </c>
      <c r="S5" s="752" t="s">
        <v>2</v>
      </c>
    </row>
    <row r="6" spans="1:19" ht="14.4" customHeight="1" x14ac:dyDescent="0.3">
      <c r="A6" s="727" t="s">
        <v>2705</v>
      </c>
      <c r="B6" s="753">
        <v>372</v>
      </c>
      <c r="C6" s="690"/>
      <c r="D6" s="753"/>
      <c r="E6" s="690"/>
      <c r="F6" s="753"/>
      <c r="G6" s="715"/>
      <c r="H6" s="753"/>
      <c r="I6" s="690"/>
      <c r="J6" s="753"/>
      <c r="K6" s="690"/>
      <c r="L6" s="753"/>
      <c r="M6" s="715"/>
      <c r="N6" s="753"/>
      <c r="O6" s="690"/>
      <c r="P6" s="753"/>
      <c r="Q6" s="690"/>
      <c r="R6" s="753"/>
      <c r="S6" s="739"/>
    </row>
    <row r="7" spans="1:19" ht="14.4" customHeight="1" thickBot="1" x14ac:dyDescent="0.35">
      <c r="A7" s="755" t="s">
        <v>1861</v>
      </c>
      <c r="B7" s="754">
        <v>46306410</v>
      </c>
      <c r="C7" s="704">
        <v>0.95890483294441975</v>
      </c>
      <c r="D7" s="754">
        <v>48290934</v>
      </c>
      <c r="E7" s="704">
        <v>1</v>
      </c>
      <c r="F7" s="754">
        <v>49587176</v>
      </c>
      <c r="G7" s="716">
        <v>1.0268423468471328</v>
      </c>
      <c r="H7" s="754">
        <v>12957114.43</v>
      </c>
      <c r="I7" s="704">
        <v>1.2174119613723109</v>
      </c>
      <c r="J7" s="754">
        <v>10643163.400000006</v>
      </c>
      <c r="K7" s="704">
        <v>1</v>
      </c>
      <c r="L7" s="754">
        <v>9924879.9700000007</v>
      </c>
      <c r="M7" s="716">
        <v>0.93251222376234444</v>
      </c>
      <c r="N7" s="754"/>
      <c r="O7" s="704"/>
      <c r="P7" s="754"/>
      <c r="Q7" s="704"/>
      <c r="R7" s="754"/>
      <c r="S7" s="74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4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82" t="s">
        <v>3945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297</v>
      </c>
      <c r="B2" s="232"/>
      <c r="C2" s="232"/>
      <c r="D2" s="232"/>
      <c r="E2" s="232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8"/>
      <c r="Q2" s="327"/>
    </row>
    <row r="3" spans="1:17" ht="14.4" customHeight="1" thickBot="1" x14ac:dyDescent="0.35">
      <c r="E3" s="97" t="s">
        <v>141</v>
      </c>
      <c r="F3" s="191">
        <f t="shared" ref="F3:O3" si="0">SUBTOTAL(9,F6:F1048576)</f>
        <v>17483.98</v>
      </c>
      <c r="G3" s="192">
        <f t="shared" si="0"/>
        <v>59263896.430000007</v>
      </c>
      <c r="H3" s="192"/>
      <c r="I3" s="192"/>
      <c r="J3" s="192">
        <f t="shared" si="0"/>
        <v>17200.12</v>
      </c>
      <c r="K3" s="192">
        <f t="shared" si="0"/>
        <v>58934097.400000006</v>
      </c>
      <c r="L3" s="192"/>
      <c r="M3" s="192"/>
      <c r="N3" s="192">
        <f t="shared" si="0"/>
        <v>17835.25</v>
      </c>
      <c r="O3" s="192">
        <f t="shared" si="0"/>
        <v>59512055.970000006</v>
      </c>
      <c r="P3" s="70">
        <f>IF(K3=0,0,O3/K3)</f>
        <v>1.0098068621646523</v>
      </c>
      <c r="Q3" s="193">
        <f>IF(N3=0,0,O3/N3)</f>
        <v>3336.7660094475832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107</v>
      </c>
      <c r="E4" s="585" t="s">
        <v>67</v>
      </c>
      <c r="F4" s="586">
        <v>2015</v>
      </c>
      <c r="G4" s="587"/>
      <c r="H4" s="194"/>
      <c r="I4" s="194"/>
      <c r="J4" s="586">
        <v>2017</v>
      </c>
      <c r="K4" s="587"/>
      <c r="L4" s="194"/>
      <c r="M4" s="194"/>
      <c r="N4" s="586">
        <v>2018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6"/>
      <c r="B5" s="757"/>
      <c r="C5" s="756"/>
      <c r="D5" s="758"/>
      <c r="E5" s="759"/>
      <c r="F5" s="760" t="s">
        <v>77</v>
      </c>
      <c r="G5" s="761" t="s">
        <v>14</v>
      </c>
      <c r="H5" s="762"/>
      <c r="I5" s="762"/>
      <c r="J5" s="760" t="s">
        <v>77</v>
      </c>
      <c r="K5" s="761" t="s">
        <v>14</v>
      </c>
      <c r="L5" s="762"/>
      <c r="M5" s="762"/>
      <c r="N5" s="760" t="s">
        <v>77</v>
      </c>
      <c r="O5" s="761" t="s">
        <v>14</v>
      </c>
      <c r="P5" s="763"/>
      <c r="Q5" s="764"/>
    </row>
    <row r="6" spans="1:17" ht="14.4" customHeight="1" x14ac:dyDescent="0.3">
      <c r="A6" s="689" t="s">
        <v>2706</v>
      </c>
      <c r="B6" s="690" t="s">
        <v>2707</v>
      </c>
      <c r="C6" s="690" t="s">
        <v>2708</v>
      </c>
      <c r="D6" s="690" t="s">
        <v>2709</v>
      </c>
      <c r="E6" s="690" t="s">
        <v>2710</v>
      </c>
      <c r="F6" s="694">
        <v>1</v>
      </c>
      <c r="G6" s="694">
        <v>372</v>
      </c>
      <c r="H6" s="694"/>
      <c r="I6" s="694">
        <v>372</v>
      </c>
      <c r="J6" s="694"/>
      <c r="K6" s="694"/>
      <c r="L6" s="694"/>
      <c r="M6" s="694"/>
      <c r="N6" s="694"/>
      <c r="O6" s="694"/>
      <c r="P6" s="715"/>
      <c r="Q6" s="695"/>
    </row>
    <row r="7" spans="1:17" ht="14.4" customHeight="1" x14ac:dyDescent="0.3">
      <c r="A7" s="696" t="s">
        <v>505</v>
      </c>
      <c r="B7" s="697" t="s">
        <v>2711</v>
      </c>
      <c r="C7" s="697" t="s">
        <v>2708</v>
      </c>
      <c r="D7" s="697" t="s">
        <v>2712</v>
      </c>
      <c r="E7" s="697" t="s">
        <v>2713</v>
      </c>
      <c r="F7" s="701"/>
      <c r="G7" s="701"/>
      <c r="H7" s="701"/>
      <c r="I7" s="701"/>
      <c r="J7" s="701"/>
      <c r="K7" s="701"/>
      <c r="L7" s="701"/>
      <c r="M7" s="701"/>
      <c r="N7" s="701">
        <v>2</v>
      </c>
      <c r="O7" s="701">
        <v>1262</v>
      </c>
      <c r="P7" s="723"/>
      <c r="Q7" s="702">
        <v>631</v>
      </c>
    </row>
    <row r="8" spans="1:17" ht="14.4" customHeight="1" x14ac:dyDescent="0.3">
      <c r="A8" s="696" t="s">
        <v>505</v>
      </c>
      <c r="B8" s="697" t="s">
        <v>2711</v>
      </c>
      <c r="C8" s="697" t="s">
        <v>2708</v>
      </c>
      <c r="D8" s="697" t="s">
        <v>2714</v>
      </c>
      <c r="E8" s="697" t="s">
        <v>2715</v>
      </c>
      <c r="F8" s="701"/>
      <c r="G8" s="701"/>
      <c r="H8" s="701"/>
      <c r="I8" s="701"/>
      <c r="J8" s="701"/>
      <c r="K8" s="701"/>
      <c r="L8" s="701"/>
      <c r="M8" s="701"/>
      <c r="N8" s="701">
        <v>2</v>
      </c>
      <c r="O8" s="701">
        <v>78</v>
      </c>
      <c r="P8" s="723"/>
      <c r="Q8" s="702">
        <v>39</v>
      </c>
    </row>
    <row r="9" spans="1:17" ht="14.4" customHeight="1" x14ac:dyDescent="0.3">
      <c r="A9" s="696" t="s">
        <v>505</v>
      </c>
      <c r="B9" s="697" t="s">
        <v>2711</v>
      </c>
      <c r="C9" s="697" t="s">
        <v>2708</v>
      </c>
      <c r="D9" s="697" t="s">
        <v>2716</v>
      </c>
      <c r="E9" s="697" t="s">
        <v>2717</v>
      </c>
      <c r="F9" s="701"/>
      <c r="G9" s="701"/>
      <c r="H9" s="701"/>
      <c r="I9" s="701"/>
      <c r="J9" s="701"/>
      <c r="K9" s="701"/>
      <c r="L9" s="701"/>
      <c r="M9" s="701"/>
      <c r="N9" s="701">
        <v>2</v>
      </c>
      <c r="O9" s="701">
        <v>3404</v>
      </c>
      <c r="P9" s="723"/>
      <c r="Q9" s="702">
        <v>1702</v>
      </c>
    </row>
    <row r="10" spans="1:17" ht="14.4" customHeight="1" x14ac:dyDescent="0.3">
      <c r="A10" s="696" t="s">
        <v>505</v>
      </c>
      <c r="B10" s="697" t="s">
        <v>2718</v>
      </c>
      <c r="C10" s="697" t="s">
        <v>2708</v>
      </c>
      <c r="D10" s="697" t="s">
        <v>2712</v>
      </c>
      <c r="E10" s="697" t="s">
        <v>2719</v>
      </c>
      <c r="F10" s="701"/>
      <c r="G10" s="701"/>
      <c r="H10" s="701"/>
      <c r="I10" s="701"/>
      <c r="J10" s="701">
        <v>3</v>
      </c>
      <c r="K10" s="701">
        <v>1890</v>
      </c>
      <c r="L10" s="701">
        <v>1</v>
      </c>
      <c r="M10" s="701">
        <v>630</v>
      </c>
      <c r="N10" s="701"/>
      <c r="O10" s="701"/>
      <c r="P10" s="723"/>
      <c r="Q10" s="702"/>
    </row>
    <row r="11" spans="1:17" ht="14.4" customHeight="1" x14ac:dyDescent="0.3">
      <c r="A11" s="696" t="s">
        <v>505</v>
      </c>
      <c r="B11" s="697" t="s">
        <v>2718</v>
      </c>
      <c r="C11" s="697" t="s">
        <v>2708</v>
      </c>
      <c r="D11" s="697" t="s">
        <v>2716</v>
      </c>
      <c r="E11" s="697" t="s">
        <v>2717</v>
      </c>
      <c r="F11" s="701"/>
      <c r="G11" s="701"/>
      <c r="H11" s="701"/>
      <c r="I11" s="701"/>
      <c r="J11" s="701">
        <v>9</v>
      </c>
      <c r="K11" s="701">
        <v>15309</v>
      </c>
      <c r="L11" s="701">
        <v>1</v>
      </c>
      <c r="M11" s="701">
        <v>1701</v>
      </c>
      <c r="N11" s="701"/>
      <c r="O11" s="701"/>
      <c r="P11" s="723"/>
      <c r="Q11" s="702"/>
    </row>
    <row r="12" spans="1:17" ht="14.4" customHeight="1" x14ac:dyDescent="0.3">
      <c r="A12" s="696" t="s">
        <v>505</v>
      </c>
      <c r="B12" s="697" t="s">
        <v>2718</v>
      </c>
      <c r="C12" s="697" t="s">
        <v>2708</v>
      </c>
      <c r="D12" s="697" t="s">
        <v>2720</v>
      </c>
      <c r="E12" s="697" t="s">
        <v>2721</v>
      </c>
      <c r="F12" s="701"/>
      <c r="G12" s="701"/>
      <c r="H12" s="701"/>
      <c r="I12" s="701"/>
      <c r="J12" s="701">
        <v>1</v>
      </c>
      <c r="K12" s="701">
        <v>1965</v>
      </c>
      <c r="L12" s="701">
        <v>1</v>
      </c>
      <c r="M12" s="701">
        <v>1965</v>
      </c>
      <c r="N12" s="701"/>
      <c r="O12" s="701"/>
      <c r="P12" s="723"/>
      <c r="Q12" s="702"/>
    </row>
    <row r="13" spans="1:17" ht="14.4" customHeight="1" x14ac:dyDescent="0.3">
      <c r="A13" s="696" t="s">
        <v>505</v>
      </c>
      <c r="B13" s="697" t="s">
        <v>2718</v>
      </c>
      <c r="C13" s="697" t="s">
        <v>2708</v>
      </c>
      <c r="D13" s="697" t="s">
        <v>2722</v>
      </c>
      <c r="E13" s="697" t="s">
        <v>2723</v>
      </c>
      <c r="F13" s="701"/>
      <c r="G13" s="701"/>
      <c r="H13" s="701"/>
      <c r="I13" s="701"/>
      <c r="J13" s="701">
        <v>1</v>
      </c>
      <c r="K13" s="701">
        <v>3950</v>
      </c>
      <c r="L13" s="701">
        <v>1</v>
      </c>
      <c r="M13" s="701">
        <v>3950</v>
      </c>
      <c r="N13" s="701"/>
      <c r="O13" s="701"/>
      <c r="P13" s="723"/>
      <c r="Q13" s="702"/>
    </row>
    <row r="14" spans="1:17" ht="14.4" customHeight="1" x14ac:dyDescent="0.3">
      <c r="A14" s="696" t="s">
        <v>505</v>
      </c>
      <c r="B14" s="697" t="s">
        <v>2718</v>
      </c>
      <c r="C14" s="697" t="s">
        <v>2708</v>
      </c>
      <c r="D14" s="697" t="s">
        <v>2724</v>
      </c>
      <c r="E14" s="697" t="s">
        <v>2725</v>
      </c>
      <c r="F14" s="701"/>
      <c r="G14" s="701"/>
      <c r="H14" s="701"/>
      <c r="I14" s="701"/>
      <c r="J14" s="701">
        <v>1</v>
      </c>
      <c r="K14" s="701">
        <v>2523</v>
      </c>
      <c r="L14" s="701">
        <v>1</v>
      </c>
      <c r="M14" s="701">
        <v>2523</v>
      </c>
      <c r="N14" s="701">
        <v>2</v>
      </c>
      <c r="O14" s="701">
        <v>5052</v>
      </c>
      <c r="P14" s="723">
        <v>2.0023781212841856</v>
      </c>
      <c r="Q14" s="702">
        <v>2526</v>
      </c>
    </row>
    <row r="15" spans="1:17" ht="14.4" customHeight="1" x14ac:dyDescent="0.3">
      <c r="A15" s="696" t="s">
        <v>505</v>
      </c>
      <c r="B15" s="697" t="s">
        <v>2718</v>
      </c>
      <c r="C15" s="697" t="s">
        <v>2708</v>
      </c>
      <c r="D15" s="697" t="s">
        <v>2726</v>
      </c>
      <c r="E15" s="697" t="s">
        <v>2727</v>
      </c>
      <c r="F15" s="701"/>
      <c r="G15" s="701"/>
      <c r="H15" s="701"/>
      <c r="I15" s="701"/>
      <c r="J15" s="701">
        <v>1</v>
      </c>
      <c r="K15" s="701">
        <v>3616</v>
      </c>
      <c r="L15" s="701">
        <v>1</v>
      </c>
      <c r="M15" s="701">
        <v>3616</v>
      </c>
      <c r="N15" s="701">
        <v>1</v>
      </c>
      <c r="O15" s="701">
        <v>3622</v>
      </c>
      <c r="P15" s="723">
        <v>1.0016592920353982</v>
      </c>
      <c r="Q15" s="702">
        <v>3622</v>
      </c>
    </row>
    <row r="16" spans="1:17" ht="14.4" customHeight="1" x14ac:dyDescent="0.3">
      <c r="A16" s="696" t="s">
        <v>505</v>
      </c>
      <c r="B16" s="697" t="s">
        <v>2718</v>
      </c>
      <c r="C16" s="697" t="s">
        <v>2708</v>
      </c>
      <c r="D16" s="697" t="s">
        <v>2728</v>
      </c>
      <c r="E16" s="697" t="s">
        <v>2729</v>
      </c>
      <c r="F16" s="701">
        <v>29</v>
      </c>
      <c r="G16" s="701">
        <v>80330</v>
      </c>
      <c r="H16" s="701">
        <v>0.80527291865069417</v>
      </c>
      <c r="I16" s="701">
        <v>2770</v>
      </c>
      <c r="J16" s="701">
        <v>36</v>
      </c>
      <c r="K16" s="701">
        <v>99755</v>
      </c>
      <c r="L16" s="701">
        <v>1</v>
      </c>
      <c r="M16" s="701">
        <v>2770.9722222222222</v>
      </c>
      <c r="N16" s="701">
        <v>33</v>
      </c>
      <c r="O16" s="701">
        <v>91551</v>
      </c>
      <c r="P16" s="723">
        <v>0.91775850834544637</v>
      </c>
      <c r="Q16" s="702">
        <v>2774.2727272727275</v>
      </c>
    </row>
    <row r="17" spans="1:17" ht="14.4" customHeight="1" x14ac:dyDescent="0.3">
      <c r="A17" s="696" t="s">
        <v>505</v>
      </c>
      <c r="B17" s="697" t="s">
        <v>2718</v>
      </c>
      <c r="C17" s="697" t="s">
        <v>2708</v>
      </c>
      <c r="D17" s="697" t="s">
        <v>2730</v>
      </c>
      <c r="E17" s="697" t="s">
        <v>2731</v>
      </c>
      <c r="F17" s="701">
        <v>12</v>
      </c>
      <c r="G17" s="701">
        <v>74040</v>
      </c>
      <c r="H17" s="701">
        <v>1.4992710189535072</v>
      </c>
      <c r="I17" s="701">
        <v>6170</v>
      </c>
      <c r="J17" s="701">
        <v>8</v>
      </c>
      <c r="K17" s="701">
        <v>49384</v>
      </c>
      <c r="L17" s="701">
        <v>1</v>
      </c>
      <c r="M17" s="701">
        <v>6173</v>
      </c>
      <c r="N17" s="701">
        <v>3</v>
      </c>
      <c r="O17" s="701">
        <v>18540</v>
      </c>
      <c r="P17" s="723">
        <v>0.37542523894378749</v>
      </c>
      <c r="Q17" s="702">
        <v>6180</v>
      </c>
    </row>
    <row r="18" spans="1:17" ht="14.4" customHeight="1" x14ac:dyDescent="0.3">
      <c r="A18" s="696" t="s">
        <v>505</v>
      </c>
      <c r="B18" s="697" t="s">
        <v>2718</v>
      </c>
      <c r="C18" s="697" t="s">
        <v>2708</v>
      </c>
      <c r="D18" s="697" t="s">
        <v>2732</v>
      </c>
      <c r="E18" s="697" t="s">
        <v>2733</v>
      </c>
      <c r="F18" s="701"/>
      <c r="G18" s="701"/>
      <c r="H18" s="701"/>
      <c r="I18" s="701"/>
      <c r="J18" s="701"/>
      <c r="K18" s="701"/>
      <c r="L18" s="701"/>
      <c r="M18" s="701"/>
      <c r="N18" s="701">
        <v>1</v>
      </c>
      <c r="O18" s="701">
        <v>3238</v>
      </c>
      <c r="P18" s="723"/>
      <c r="Q18" s="702">
        <v>3238</v>
      </c>
    </row>
    <row r="19" spans="1:17" ht="14.4" customHeight="1" x14ac:dyDescent="0.3">
      <c r="A19" s="696" t="s">
        <v>505</v>
      </c>
      <c r="B19" s="697" t="s">
        <v>2718</v>
      </c>
      <c r="C19" s="697" t="s">
        <v>2708</v>
      </c>
      <c r="D19" s="697" t="s">
        <v>2734</v>
      </c>
      <c r="E19" s="697" t="s">
        <v>2735</v>
      </c>
      <c r="F19" s="701">
        <v>1</v>
      </c>
      <c r="G19" s="701">
        <v>2462</v>
      </c>
      <c r="H19" s="701"/>
      <c r="I19" s="701">
        <v>2462</v>
      </c>
      <c r="J19" s="701"/>
      <c r="K19" s="701"/>
      <c r="L19" s="701"/>
      <c r="M19" s="701"/>
      <c r="N19" s="701"/>
      <c r="O19" s="701"/>
      <c r="P19" s="723"/>
      <c r="Q19" s="702"/>
    </row>
    <row r="20" spans="1:17" ht="14.4" customHeight="1" x14ac:dyDescent="0.3">
      <c r="A20" s="696" t="s">
        <v>505</v>
      </c>
      <c r="B20" s="697" t="s">
        <v>2718</v>
      </c>
      <c r="C20" s="697" t="s">
        <v>2708</v>
      </c>
      <c r="D20" s="697" t="s">
        <v>2736</v>
      </c>
      <c r="E20" s="697" t="s">
        <v>2737</v>
      </c>
      <c r="F20" s="701">
        <v>1</v>
      </c>
      <c r="G20" s="701">
        <v>10268</v>
      </c>
      <c r="H20" s="701"/>
      <c r="I20" s="701">
        <v>10268</v>
      </c>
      <c r="J20" s="701"/>
      <c r="K20" s="701"/>
      <c r="L20" s="701"/>
      <c r="M20" s="701"/>
      <c r="N20" s="701"/>
      <c r="O20" s="701"/>
      <c r="P20" s="723"/>
      <c r="Q20" s="702"/>
    </row>
    <row r="21" spans="1:17" ht="14.4" customHeight="1" x14ac:dyDescent="0.3">
      <c r="A21" s="696" t="s">
        <v>505</v>
      </c>
      <c r="B21" s="697" t="s">
        <v>2718</v>
      </c>
      <c r="C21" s="697" t="s">
        <v>2708</v>
      </c>
      <c r="D21" s="697" t="s">
        <v>2738</v>
      </c>
      <c r="E21" s="697" t="s">
        <v>2739</v>
      </c>
      <c r="F21" s="701">
        <v>4</v>
      </c>
      <c r="G21" s="701">
        <v>13916</v>
      </c>
      <c r="H21" s="701">
        <v>3.9988505747126437</v>
      </c>
      <c r="I21" s="701">
        <v>3479</v>
      </c>
      <c r="J21" s="701">
        <v>1</v>
      </c>
      <c r="K21" s="701">
        <v>3480</v>
      </c>
      <c r="L21" s="701">
        <v>1</v>
      </c>
      <c r="M21" s="701">
        <v>3480</v>
      </c>
      <c r="N21" s="701">
        <v>2</v>
      </c>
      <c r="O21" s="701">
        <v>6970</v>
      </c>
      <c r="P21" s="723">
        <v>2.0028735632183907</v>
      </c>
      <c r="Q21" s="702">
        <v>3485</v>
      </c>
    </row>
    <row r="22" spans="1:17" ht="14.4" customHeight="1" x14ac:dyDescent="0.3">
      <c r="A22" s="696" t="s">
        <v>505</v>
      </c>
      <c r="B22" s="697" t="s">
        <v>2718</v>
      </c>
      <c r="C22" s="697" t="s">
        <v>2708</v>
      </c>
      <c r="D22" s="697" t="s">
        <v>2740</v>
      </c>
      <c r="E22" s="697" t="s">
        <v>2741</v>
      </c>
      <c r="F22" s="701">
        <v>29</v>
      </c>
      <c r="G22" s="701">
        <v>62205</v>
      </c>
      <c r="H22" s="701">
        <v>0.85254372019077906</v>
      </c>
      <c r="I22" s="701">
        <v>2145</v>
      </c>
      <c r="J22" s="701">
        <v>34</v>
      </c>
      <c r="K22" s="701">
        <v>72964</v>
      </c>
      <c r="L22" s="701">
        <v>1</v>
      </c>
      <c r="M22" s="701">
        <v>2146</v>
      </c>
      <c r="N22" s="701">
        <v>101</v>
      </c>
      <c r="O22" s="701">
        <v>217076</v>
      </c>
      <c r="P22" s="723">
        <v>2.9751110136505674</v>
      </c>
      <c r="Q22" s="702">
        <v>2149.2673267326732</v>
      </c>
    </row>
    <row r="23" spans="1:17" ht="14.4" customHeight="1" x14ac:dyDescent="0.3">
      <c r="A23" s="696" t="s">
        <v>505</v>
      </c>
      <c r="B23" s="697" t="s">
        <v>2718</v>
      </c>
      <c r="C23" s="697" t="s">
        <v>2708</v>
      </c>
      <c r="D23" s="697" t="s">
        <v>2742</v>
      </c>
      <c r="E23" s="697" t="s">
        <v>2743</v>
      </c>
      <c r="F23" s="701"/>
      <c r="G23" s="701"/>
      <c r="H23" s="701"/>
      <c r="I23" s="701"/>
      <c r="J23" s="701">
        <v>1</v>
      </c>
      <c r="K23" s="701">
        <v>1679</v>
      </c>
      <c r="L23" s="701">
        <v>1</v>
      </c>
      <c r="M23" s="701">
        <v>1679</v>
      </c>
      <c r="N23" s="701">
        <v>1</v>
      </c>
      <c r="O23" s="701">
        <v>1681</v>
      </c>
      <c r="P23" s="723">
        <v>1.0011911852293032</v>
      </c>
      <c r="Q23" s="702">
        <v>1681</v>
      </c>
    </row>
    <row r="24" spans="1:17" ht="14.4" customHeight="1" x14ac:dyDescent="0.3">
      <c r="A24" s="696" t="s">
        <v>505</v>
      </c>
      <c r="B24" s="697" t="s">
        <v>2718</v>
      </c>
      <c r="C24" s="697" t="s">
        <v>2708</v>
      </c>
      <c r="D24" s="697" t="s">
        <v>2742</v>
      </c>
      <c r="E24" s="697" t="s">
        <v>2744</v>
      </c>
      <c r="F24" s="701">
        <v>1</v>
      </c>
      <c r="G24" s="701">
        <v>1678</v>
      </c>
      <c r="H24" s="701">
        <v>0.99940440738534841</v>
      </c>
      <c r="I24" s="701">
        <v>1678</v>
      </c>
      <c r="J24" s="701">
        <v>1</v>
      </c>
      <c r="K24" s="701">
        <v>1679</v>
      </c>
      <c r="L24" s="701">
        <v>1</v>
      </c>
      <c r="M24" s="701">
        <v>1679</v>
      </c>
      <c r="N24" s="701">
        <v>3</v>
      </c>
      <c r="O24" s="701">
        <v>5043</v>
      </c>
      <c r="P24" s="723">
        <v>3.0035735556879093</v>
      </c>
      <c r="Q24" s="702">
        <v>1681</v>
      </c>
    </row>
    <row r="25" spans="1:17" ht="14.4" customHeight="1" x14ac:dyDescent="0.3">
      <c r="A25" s="696" t="s">
        <v>505</v>
      </c>
      <c r="B25" s="697" t="s">
        <v>2718</v>
      </c>
      <c r="C25" s="697" t="s">
        <v>2708</v>
      </c>
      <c r="D25" s="697" t="s">
        <v>2745</v>
      </c>
      <c r="E25" s="697" t="s">
        <v>2746</v>
      </c>
      <c r="F25" s="701"/>
      <c r="G25" s="701"/>
      <c r="H25" s="701"/>
      <c r="I25" s="701"/>
      <c r="J25" s="701">
        <v>1</v>
      </c>
      <c r="K25" s="701">
        <v>2315</v>
      </c>
      <c r="L25" s="701">
        <v>1</v>
      </c>
      <c r="M25" s="701">
        <v>2315</v>
      </c>
      <c r="N25" s="701">
        <v>2</v>
      </c>
      <c r="O25" s="701">
        <v>4638</v>
      </c>
      <c r="P25" s="723">
        <v>2.0034557235421167</v>
      </c>
      <c r="Q25" s="702">
        <v>2319</v>
      </c>
    </row>
    <row r="26" spans="1:17" ht="14.4" customHeight="1" x14ac:dyDescent="0.3">
      <c r="A26" s="696" t="s">
        <v>505</v>
      </c>
      <c r="B26" s="697" t="s">
        <v>2718</v>
      </c>
      <c r="C26" s="697" t="s">
        <v>2708</v>
      </c>
      <c r="D26" s="697" t="s">
        <v>2745</v>
      </c>
      <c r="E26" s="697" t="s">
        <v>2747</v>
      </c>
      <c r="F26" s="701">
        <v>9</v>
      </c>
      <c r="G26" s="701">
        <v>20826</v>
      </c>
      <c r="H26" s="701">
        <v>1.4994600043199655</v>
      </c>
      <c r="I26" s="701">
        <v>2314</v>
      </c>
      <c r="J26" s="701">
        <v>6</v>
      </c>
      <c r="K26" s="701">
        <v>13889</v>
      </c>
      <c r="L26" s="701">
        <v>1</v>
      </c>
      <c r="M26" s="701">
        <v>2314.8333333333335</v>
      </c>
      <c r="N26" s="701">
        <v>14</v>
      </c>
      <c r="O26" s="701">
        <v>32459</v>
      </c>
      <c r="P26" s="723">
        <v>2.3370293037655698</v>
      </c>
      <c r="Q26" s="702">
        <v>2318.5</v>
      </c>
    </row>
    <row r="27" spans="1:17" ht="14.4" customHeight="1" x14ac:dyDescent="0.3">
      <c r="A27" s="696" t="s">
        <v>505</v>
      </c>
      <c r="B27" s="697" t="s">
        <v>2718</v>
      </c>
      <c r="C27" s="697" t="s">
        <v>2708</v>
      </c>
      <c r="D27" s="697" t="s">
        <v>2748</v>
      </c>
      <c r="E27" s="697" t="s">
        <v>2749</v>
      </c>
      <c r="F27" s="701">
        <v>5</v>
      </c>
      <c r="G27" s="701">
        <v>13845</v>
      </c>
      <c r="H27" s="701">
        <v>0.17850926391521293</v>
      </c>
      <c r="I27" s="701">
        <v>2769</v>
      </c>
      <c r="J27" s="701">
        <v>28</v>
      </c>
      <c r="K27" s="701">
        <v>77559</v>
      </c>
      <c r="L27" s="701">
        <v>1</v>
      </c>
      <c r="M27" s="701">
        <v>2769.9642857142858</v>
      </c>
      <c r="N27" s="701">
        <v>37</v>
      </c>
      <c r="O27" s="701">
        <v>102612</v>
      </c>
      <c r="P27" s="723">
        <v>1.323018605190887</v>
      </c>
      <c r="Q27" s="702">
        <v>2773.2972972972975</v>
      </c>
    </row>
    <row r="28" spans="1:17" ht="14.4" customHeight="1" x14ac:dyDescent="0.3">
      <c r="A28" s="696" t="s">
        <v>505</v>
      </c>
      <c r="B28" s="697" t="s">
        <v>2718</v>
      </c>
      <c r="C28" s="697" t="s">
        <v>2708</v>
      </c>
      <c r="D28" s="697" t="s">
        <v>2750</v>
      </c>
      <c r="E28" s="697" t="s">
        <v>2751</v>
      </c>
      <c r="F28" s="701"/>
      <c r="G28" s="701"/>
      <c r="H28" s="701"/>
      <c r="I28" s="701"/>
      <c r="J28" s="701"/>
      <c r="K28" s="701"/>
      <c r="L28" s="701"/>
      <c r="M28" s="701"/>
      <c r="N28" s="701">
        <v>1</v>
      </c>
      <c r="O28" s="701">
        <v>3326</v>
      </c>
      <c r="P28" s="723"/>
      <c r="Q28" s="702">
        <v>3326</v>
      </c>
    </row>
    <row r="29" spans="1:17" ht="14.4" customHeight="1" x14ac:dyDescent="0.3">
      <c r="A29" s="696" t="s">
        <v>505</v>
      </c>
      <c r="B29" s="697" t="s">
        <v>2718</v>
      </c>
      <c r="C29" s="697" t="s">
        <v>2708</v>
      </c>
      <c r="D29" s="697" t="s">
        <v>2752</v>
      </c>
      <c r="E29" s="697" t="s">
        <v>2753</v>
      </c>
      <c r="F29" s="701"/>
      <c r="G29" s="701"/>
      <c r="H29" s="701"/>
      <c r="I29" s="701"/>
      <c r="J29" s="701">
        <v>1</v>
      </c>
      <c r="K29" s="701">
        <v>96</v>
      </c>
      <c r="L29" s="701">
        <v>1</v>
      </c>
      <c r="M29" s="701">
        <v>96</v>
      </c>
      <c r="N29" s="701"/>
      <c r="O29" s="701"/>
      <c r="P29" s="723"/>
      <c r="Q29" s="702"/>
    </row>
    <row r="30" spans="1:17" ht="14.4" customHeight="1" x14ac:dyDescent="0.3">
      <c r="A30" s="696" t="s">
        <v>505</v>
      </c>
      <c r="B30" s="697" t="s">
        <v>2718</v>
      </c>
      <c r="C30" s="697" t="s">
        <v>2708</v>
      </c>
      <c r="D30" s="697" t="s">
        <v>2754</v>
      </c>
      <c r="E30" s="697" t="s">
        <v>2755</v>
      </c>
      <c r="F30" s="701"/>
      <c r="G30" s="701"/>
      <c r="H30" s="701"/>
      <c r="I30" s="701"/>
      <c r="J30" s="701">
        <v>1</v>
      </c>
      <c r="K30" s="701">
        <v>2466</v>
      </c>
      <c r="L30" s="701">
        <v>1</v>
      </c>
      <c r="M30" s="701">
        <v>2466</v>
      </c>
      <c r="N30" s="701"/>
      <c r="O30" s="701"/>
      <c r="P30" s="723"/>
      <c r="Q30" s="702"/>
    </row>
    <row r="31" spans="1:17" ht="14.4" customHeight="1" x14ac:dyDescent="0.3">
      <c r="A31" s="696" t="s">
        <v>505</v>
      </c>
      <c r="B31" s="697" t="s">
        <v>2718</v>
      </c>
      <c r="C31" s="697" t="s">
        <v>2708</v>
      </c>
      <c r="D31" s="697" t="s">
        <v>2756</v>
      </c>
      <c r="E31" s="697" t="s">
        <v>2757</v>
      </c>
      <c r="F31" s="701">
        <v>1</v>
      </c>
      <c r="G31" s="701">
        <v>5148</v>
      </c>
      <c r="H31" s="701"/>
      <c r="I31" s="701">
        <v>5148</v>
      </c>
      <c r="J31" s="701"/>
      <c r="K31" s="701"/>
      <c r="L31" s="701"/>
      <c r="M31" s="701"/>
      <c r="N31" s="701"/>
      <c r="O31" s="701"/>
      <c r="P31" s="723"/>
      <c r="Q31" s="702"/>
    </row>
    <row r="32" spans="1:17" ht="14.4" customHeight="1" x14ac:dyDescent="0.3">
      <c r="A32" s="696" t="s">
        <v>505</v>
      </c>
      <c r="B32" s="697" t="s">
        <v>2718</v>
      </c>
      <c r="C32" s="697" t="s">
        <v>2708</v>
      </c>
      <c r="D32" s="697" t="s">
        <v>2756</v>
      </c>
      <c r="E32" s="697" t="s">
        <v>2758</v>
      </c>
      <c r="F32" s="701"/>
      <c r="G32" s="701"/>
      <c r="H32" s="701"/>
      <c r="I32" s="701"/>
      <c r="J32" s="701">
        <v>2</v>
      </c>
      <c r="K32" s="701">
        <v>10296</v>
      </c>
      <c r="L32" s="701">
        <v>1</v>
      </c>
      <c r="M32" s="701">
        <v>5148</v>
      </c>
      <c r="N32" s="701">
        <v>2</v>
      </c>
      <c r="O32" s="701">
        <v>10296</v>
      </c>
      <c r="P32" s="723">
        <v>1</v>
      </c>
      <c r="Q32" s="702">
        <v>5148</v>
      </c>
    </row>
    <row r="33" spans="1:17" ht="14.4" customHeight="1" x14ac:dyDescent="0.3">
      <c r="A33" s="696" t="s">
        <v>505</v>
      </c>
      <c r="B33" s="697" t="s">
        <v>2718</v>
      </c>
      <c r="C33" s="697" t="s">
        <v>2708</v>
      </c>
      <c r="D33" s="697" t="s">
        <v>2759</v>
      </c>
      <c r="E33" s="697" t="s">
        <v>2760</v>
      </c>
      <c r="F33" s="701"/>
      <c r="G33" s="701"/>
      <c r="H33" s="701"/>
      <c r="I33" s="701"/>
      <c r="J33" s="701">
        <v>1</v>
      </c>
      <c r="K33" s="701">
        <v>4937</v>
      </c>
      <c r="L33" s="701">
        <v>1</v>
      </c>
      <c r="M33" s="701">
        <v>4937</v>
      </c>
      <c r="N33" s="701"/>
      <c r="O33" s="701"/>
      <c r="P33" s="723"/>
      <c r="Q33" s="702"/>
    </row>
    <row r="34" spans="1:17" ht="14.4" customHeight="1" x14ac:dyDescent="0.3">
      <c r="A34" s="696" t="s">
        <v>505</v>
      </c>
      <c r="B34" s="697" t="s">
        <v>2718</v>
      </c>
      <c r="C34" s="697" t="s">
        <v>2708</v>
      </c>
      <c r="D34" s="697" t="s">
        <v>2761</v>
      </c>
      <c r="E34" s="697" t="s">
        <v>2762</v>
      </c>
      <c r="F34" s="701">
        <v>2</v>
      </c>
      <c r="G34" s="701">
        <v>1418</v>
      </c>
      <c r="H34" s="701"/>
      <c r="I34" s="701">
        <v>709</v>
      </c>
      <c r="J34" s="701"/>
      <c r="K34" s="701"/>
      <c r="L34" s="701"/>
      <c r="M34" s="701"/>
      <c r="N34" s="701">
        <v>3</v>
      </c>
      <c r="O34" s="701">
        <v>2136</v>
      </c>
      <c r="P34" s="723"/>
      <c r="Q34" s="702">
        <v>712</v>
      </c>
    </row>
    <row r="35" spans="1:17" ht="14.4" customHeight="1" x14ac:dyDescent="0.3">
      <c r="A35" s="696" t="s">
        <v>505</v>
      </c>
      <c r="B35" s="697" t="s">
        <v>2718</v>
      </c>
      <c r="C35" s="697" t="s">
        <v>2708</v>
      </c>
      <c r="D35" s="697" t="s">
        <v>2763</v>
      </c>
      <c r="E35" s="697" t="s">
        <v>2764</v>
      </c>
      <c r="F35" s="701"/>
      <c r="G35" s="701"/>
      <c r="H35" s="701"/>
      <c r="I35" s="701"/>
      <c r="J35" s="701"/>
      <c r="K35" s="701"/>
      <c r="L35" s="701"/>
      <c r="M35" s="701"/>
      <c r="N35" s="701">
        <v>1</v>
      </c>
      <c r="O35" s="701">
        <v>9810</v>
      </c>
      <c r="P35" s="723"/>
      <c r="Q35" s="702">
        <v>9810</v>
      </c>
    </row>
    <row r="36" spans="1:17" ht="14.4" customHeight="1" x14ac:dyDescent="0.3">
      <c r="A36" s="696" t="s">
        <v>505</v>
      </c>
      <c r="B36" s="697" t="s">
        <v>2718</v>
      </c>
      <c r="C36" s="697" t="s">
        <v>2708</v>
      </c>
      <c r="D36" s="697" t="s">
        <v>2765</v>
      </c>
      <c r="E36" s="697" t="s">
        <v>2766</v>
      </c>
      <c r="F36" s="701"/>
      <c r="G36" s="701"/>
      <c r="H36" s="701"/>
      <c r="I36" s="701"/>
      <c r="J36" s="701">
        <v>1</v>
      </c>
      <c r="K36" s="701">
        <v>1709</v>
      </c>
      <c r="L36" s="701">
        <v>1</v>
      </c>
      <c r="M36" s="701">
        <v>1709</v>
      </c>
      <c r="N36" s="701"/>
      <c r="O36" s="701"/>
      <c r="P36" s="723"/>
      <c r="Q36" s="702"/>
    </row>
    <row r="37" spans="1:17" ht="14.4" customHeight="1" x14ac:dyDescent="0.3">
      <c r="A37" s="696" t="s">
        <v>505</v>
      </c>
      <c r="B37" s="697" t="s">
        <v>2718</v>
      </c>
      <c r="C37" s="697" t="s">
        <v>2708</v>
      </c>
      <c r="D37" s="697" t="s">
        <v>2767</v>
      </c>
      <c r="E37" s="697" t="s">
        <v>2768</v>
      </c>
      <c r="F37" s="701">
        <v>2</v>
      </c>
      <c r="G37" s="701">
        <v>1672</v>
      </c>
      <c r="H37" s="701">
        <v>0.33293508562325769</v>
      </c>
      <c r="I37" s="701">
        <v>836</v>
      </c>
      <c r="J37" s="701">
        <v>6</v>
      </c>
      <c r="K37" s="701">
        <v>5022</v>
      </c>
      <c r="L37" s="701">
        <v>1</v>
      </c>
      <c r="M37" s="701">
        <v>837</v>
      </c>
      <c r="N37" s="701">
        <v>2</v>
      </c>
      <c r="O37" s="701">
        <v>1678</v>
      </c>
      <c r="P37" s="723">
        <v>0.33412982875348468</v>
      </c>
      <c r="Q37" s="702">
        <v>839</v>
      </c>
    </row>
    <row r="38" spans="1:17" ht="14.4" customHeight="1" x14ac:dyDescent="0.3">
      <c r="A38" s="696" t="s">
        <v>505</v>
      </c>
      <c r="B38" s="697" t="s">
        <v>2718</v>
      </c>
      <c r="C38" s="697" t="s">
        <v>2708</v>
      </c>
      <c r="D38" s="697" t="s">
        <v>2767</v>
      </c>
      <c r="E38" s="697" t="s">
        <v>2769</v>
      </c>
      <c r="F38" s="701">
        <v>16</v>
      </c>
      <c r="G38" s="701">
        <v>13376</v>
      </c>
      <c r="H38" s="701">
        <v>0.99880525686977295</v>
      </c>
      <c r="I38" s="701">
        <v>836</v>
      </c>
      <c r="J38" s="701">
        <v>16</v>
      </c>
      <c r="K38" s="701">
        <v>13392</v>
      </c>
      <c r="L38" s="701">
        <v>1</v>
      </c>
      <c r="M38" s="701">
        <v>837</v>
      </c>
      <c r="N38" s="701">
        <v>23</v>
      </c>
      <c r="O38" s="701">
        <v>19297</v>
      </c>
      <c r="P38" s="723">
        <v>1.4409348864994027</v>
      </c>
      <c r="Q38" s="702">
        <v>839</v>
      </c>
    </row>
    <row r="39" spans="1:17" ht="14.4" customHeight="1" x14ac:dyDescent="0.3">
      <c r="A39" s="696" t="s">
        <v>505</v>
      </c>
      <c r="B39" s="697" t="s">
        <v>2718</v>
      </c>
      <c r="C39" s="697" t="s">
        <v>2708</v>
      </c>
      <c r="D39" s="697" t="s">
        <v>2770</v>
      </c>
      <c r="E39" s="697" t="s">
        <v>2771</v>
      </c>
      <c r="F39" s="701"/>
      <c r="G39" s="701"/>
      <c r="H39" s="701"/>
      <c r="I39" s="701"/>
      <c r="J39" s="701">
        <v>1</v>
      </c>
      <c r="K39" s="701">
        <v>2501</v>
      </c>
      <c r="L39" s="701">
        <v>1</v>
      </c>
      <c r="M39" s="701">
        <v>2501</v>
      </c>
      <c r="N39" s="701"/>
      <c r="O39" s="701"/>
      <c r="P39" s="723"/>
      <c r="Q39" s="702"/>
    </row>
    <row r="40" spans="1:17" ht="14.4" customHeight="1" x14ac:dyDescent="0.3">
      <c r="A40" s="696" t="s">
        <v>505</v>
      </c>
      <c r="B40" s="697" t="s">
        <v>2718</v>
      </c>
      <c r="C40" s="697" t="s">
        <v>2708</v>
      </c>
      <c r="D40" s="697" t="s">
        <v>2772</v>
      </c>
      <c r="E40" s="697" t="s">
        <v>2773</v>
      </c>
      <c r="F40" s="701">
        <v>7</v>
      </c>
      <c r="G40" s="701">
        <v>0</v>
      </c>
      <c r="H40" s="701"/>
      <c r="I40" s="701">
        <v>0</v>
      </c>
      <c r="J40" s="701">
        <v>7</v>
      </c>
      <c r="K40" s="701">
        <v>0</v>
      </c>
      <c r="L40" s="701"/>
      <c r="M40" s="701">
        <v>0</v>
      </c>
      <c r="N40" s="701">
        <v>3</v>
      </c>
      <c r="O40" s="701">
        <v>0</v>
      </c>
      <c r="P40" s="723"/>
      <c r="Q40" s="702">
        <v>0</v>
      </c>
    </row>
    <row r="41" spans="1:17" ht="14.4" customHeight="1" x14ac:dyDescent="0.3">
      <c r="A41" s="696" t="s">
        <v>505</v>
      </c>
      <c r="B41" s="697" t="s">
        <v>2718</v>
      </c>
      <c r="C41" s="697" t="s">
        <v>2708</v>
      </c>
      <c r="D41" s="697" t="s">
        <v>2772</v>
      </c>
      <c r="E41" s="697" t="s">
        <v>2774</v>
      </c>
      <c r="F41" s="701">
        <v>14</v>
      </c>
      <c r="G41" s="701">
        <v>0</v>
      </c>
      <c r="H41" s="701"/>
      <c r="I41" s="701">
        <v>0</v>
      </c>
      <c r="J41" s="701">
        <v>8</v>
      </c>
      <c r="K41" s="701">
        <v>0</v>
      </c>
      <c r="L41" s="701"/>
      <c r="M41" s="701">
        <v>0</v>
      </c>
      <c r="N41" s="701"/>
      <c r="O41" s="701"/>
      <c r="P41" s="723"/>
      <c r="Q41" s="702"/>
    </row>
    <row r="42" spans="1:17" ht="14.4" customHeight="1" x14ac:dyDescent="0.3">
      <c r="A42" s="696" t="s">
        <v>505</v>
      </c>
      <c r="B42" s="697" t="s">
        <v>2718</v>
      </c>
      <c r="C42" s="697" t="s">
        <v>2708</v>
      </c>
      <c r="D42" s="697" t="s">
        <v>2775</v>
      </c>
      <c r="E42" s="697" t="s">
        <v>2776</v>
      </c>
      <c r="F42" s="701"/>
      <c r="G42" s="701"/>
      <c r="H42" s="701"/>
      <c r="I42" s="701"/>
      <c r="J42" s="701">
        <v>1</v>
      </c>
      <c r="K42" s="701">
        <v>0</v>
      </c>
      <c r="L42" s="701"/>
      <c r="M42" s="701">
        <v>0</v>
      </c>
      <c r="N42" s="701"/>
      <c r="O42" s="701"/>
      <c r="P42" s="723"/>
      <c r="Q42" s="702"/>
    </row>
    <row r="43" spans="1:17" ht="14.4" customHeight="1" x14ac:dyDescent="0.3">
      <c r="A43" s="696" t="s">
        <v>505</v>
      </c>
      <c r="B43" s="697" t="s">
        <v>2718</v>
      </c>
      <c r="C43" s="697" t="s">
        <v>2708</v>
      </c>
      <c r="D43" s="697" t="s">
        <v>2775</v>
      </c>
      <c r="E43" s="697" t="s">
        <v>2777</v>
      </c>
      <c r="F43" s="701"/>
      <c r="G43" s="701"/>
      <c r="H43" s="701"/>
      <c r="I43" s="701"/>
      <c r="J43" s="701">
        <v>1</v>
      </c>
      <c r="K43" s="701">
        <v>0</v>
      </c>
      <c r="L43" s="701"/>
      <c r="M43" s="701">
        <v>0</v>
      </c>
      <c r="N43" s="701"/>
      <c r="O43" s="701"/>
      <c r="P43" s="723"/>
      <c r="Q43" s="702"/>
    </row>
    <row r="44" spans="1:17" ht="14.4" customHeight="1" x14ac:dyDescent="0.3">
      <c r="A44" s="696" t="s">
        <v>505</v>
      </c>
      <c r="B44" s="697" t="s">
        <v>2718</v>
      </c>
      <c r="C44" s="697" t="s">
        <v>2708</v>
      </c>
      <c r="D44" s="697" t="s">
        <v>2778</v>
      </c>
      <c r="E44" s="697" t="s">
        <v>2779</v>
      </c>
      <c r="F44" s="701"/>
      <c r="G44" s="701"/>
      <c r="H44" s="701"/>
      <c r="I44" s="701"/>
      <c r="J44" s="701">
        <v>3</v>
      </c>
      <c r="K44" s="701">
        <v>0</v>
      </c>
      <c r="L44" s="701"/>
      <c r="M44" s="701">
        <v>0</v>
      </c>
      <c r="N44" s="701"/>
      <c r="O44" s="701"/>
      <c r="P44" s="723"/>
      <c r="Q44" s="702"/>
    </row>
    <row r="45" spans="1:17" ht="14.4" customHeight="1" x14ac:dyDescent="0.3">
      <c r="A45" s="696" t="s">
        <v>505</v>
      </c>
      <c r="B45" s="697" t="s">
        <v>2718</v>
      </c>
      <c r="C45" s="697" t="s">
        <v>2708</v>
      </c>
      <c r="D45" s="697" t="s">
        <v>2778</v>
      </c>
      <c r="E45" s="697" t="s">
        <v>2780</v>
      </c>
      <c r="F45" s="701">
        <v>2</v>
      </c>
      <c r="G45" s="701">
        <v>0</v>
      </c>
      <c r="H45" s="701"/>
      <c r="I45" s="701">
        <v>0</v>
      </c>
      <c r="J45" s="701">
        <v>2</v>
      </c>
      <c r="K45" s="701">
        <v>0</v>
      </c>
      <c r="L45" s="701"/>
      <c r="M45" s="701">
        <v>0</v>
      </c>
      <c r="N45" s="701"/>
      <c r="O45" s="701"/>
      <c r="P45" s="723"/>
      <c r="Q45" s="702"/>
    </row>
    <row r="46" spans="1:17" ht="14.4" customHeight="1" x14ac:dyDescent="0.3">
      <c r="A46" s="696" t="s">
        <v>505</v>
      </c>
      <c r="B46" s="697" t="s">
        <v>2718</v>
      </c>
      <c r="C46" s="697" t="s">
        <v>2708</v>
      </c>
      <c r="D46" s="697" t="s">
        <v>2781</v>
      </c>
      <c r="E46" s="697" t="s">
        <v>2782</v>
      </c>
      <c r="F46" s="701">
        <v>1</v>
      </c>
      <c r="G46" s="701">
        <v>0</v>
      </c>
      <c r="H46" s="701"/>
      <c r="I46" s="701">
        <v>0</v>
      </c>
      <c r="J46" s="701">
        <v>3</v>
      </c>
      <c r="K46" s="701">
        <v>0</v>
      </c>
      <c r="L46" s="701"/>
      <c r="M46" s="701">
        <v>0</v>
      </c>
      <c r="N46" s="701"/>
      <c r="O46" s="701"/>
      <c r="P46" s="723"/>
      <c r="Q46" s="702"/>
    </row>
    <row r="47" spans="1:17" ht="14.4" customHeight="1" x14ac:dyDescent="0.3">
      <c r="A47" s="696" t="s">
        <v>505</v>
      </c>
      <c r="B47" s="697" t="s">
        <v>2718</v>
      </c>
      <c r="C47" s="697" t="s">
        <v>2708</v>
      </c>
      <c r="D47" s="697" t="s">
        <v>2783</v>
      </c>
      <c r="E47" s="697" t="s">
        <v>2784</v>
      </c>
      <c r="F47" s="701">
        <v>1</v>
      </c>
      <c r="G47" s="701">
        <v>0</v>
      </c>
      <c r="H47" s="701"/>
      <c r="I47" s="701">
        <v>0</v>
      </c>
      <c r="J47" s="701"/>
      <c r="K47" s="701"/>
      <c r="L47" s="701"/>
      <c r="M47" s="701"/>
      <c r="N47" s="701"/>
      <c r="O47" s="701"/>
      <c r="P47" s="723"/>
      <c r="Q47" s="702"/>
    </row>
    <row r="48" spans="1:17" ht="14.4" customHeight="1" x14ac:dyDescent="0.3">
      <c r="A48" s="696" t="s">
        <v>505</v>
      </c>
      <c r="B48" s="697" t="s">
        <v>2718</v>
      </c>
      <c r="C48" s="697" t="s">
        <v>2708</v>
      </c>
      <c r="D48" s="697" t="s">
        <v>2785</v>
      </c>
      <c r="E48" s="697" t="s">
        <v>2786</v>
      </c>
      <c r="F48" s="701">
        <v>1</v>
      </c>
      <c r="G48" s="701">
        <v>0</v>
      </c>
      <c r="H48" s="701"/>
      <c r="I48" s="701">
        <v>0</v>
      </c>
      <c r="J48" s="701"/>
      <c r="K48" s="701"/>
      <c r="L48" s="701"/>
      <c r="M48" s="701"/>
      <c r="N48" s="701"/>
      <c r="O48" s="701"/>
      <c r="P48" s="723"/>
      <c r="Q48" s="702"/>
    </row>
    <row r="49" spans="1:17" ht="14.4" customHeight="1" x14ac:dyDescent="0.3">
      <c r="A49" s="696" t="s">
        <v>505</v>
      </c>
      <c r="B49" s="697" t="s">
        <v>2718</v>
      </c>
      <c r="C49" s="697" t="s">
        <v>2708</v>
      </c>
      <c r="D49" s="697" t="s">
        <v>2787</v>
      </c>
      <c r="E49" s="697" t="s">
        <v>2788</v>
      </c>
      <c r="F49" s="701">
        <v>2</v>
      </c>
      <c r="G49" s="701">
        <v>0</v>
      </c>
      <c r="H49" s="701"/>
      <c r="I49" s="701">
        <v>0</v>
      </c>
      <c r="J49" s="701">
        <v>1</v>
      </c>
      <c r="K49" s="701">
        <v>0</v>
      </c>
      <c r="L49" s="701"/>
      <c r="M49" s="701">
        <v>0</v>
      </c>
      <c r="N49" s="701"/>
      <c r="O49" s="701"/>
      <c r="P49" s="723"/>
      <c r="Q49" s="702"/>
    </row>
    <row r="50" spans="1:17" ht="14.4" customHeight="1" x14ac:dyDescent="0.3">
      <c r="A50" s="696" t="s">
        <v>505</v>
      </c>
      <c r="B50" s="697" t="s">
        <v>2718</v>
      </c>
      <c r="C50" s="697" t="s">
        <v>2708</v>
      </c>
      <c r="D50" s="697" t="s">
        <v>2787</v>
      </c>
      <c r="E50" s="697" t="s">
        <v>2789</v>
      </c>
      <c r="F50" s="701"/>
      <c r="G50" s="701"/>
      <c r="H50" s="701"/>
      <c r="I50" s="701"/>
      <c r="J50" s="701">
        <v>1</v>
      </c>
      <c r="K50" s="701">
        <v>0</v>
      </c>
      <c r="L50" s="701"/>
      <c r="M50" s="701">
        <v>0</v>
      </c>
      <c r="N50" s="701"/>
      <c r="O50" s="701"/>
      <c r="P50" s="723"/>
      <c r="Q50" s="702"/>
    </row>
    <row r="51" spans="1:17" ht="14.4" customHeight="1" x14ac:dyDescent="0.3">
      <c r="A51" s="696" t="s">
        <v>505</v>
      </c>
      <c r="B51" s="697" t="s">
        <v>2718</v>
      </c>
      <c r="C51" s="697" t="s">
        <v>2708</v>
      </c>
      <c r="D51" s="697" t="s">
        <v>2790</v>
      </c>
      <c r="E51" s="697" t="s">
        <v>2791</v>
      </c>
      <c r="F51" s="701">
        <v>1</v>
      </c>
      <c r="G51" s="701">
        <v>0</v>
      </c>
      <c r="H51" s="701"/>
      <c r="I51" s="701">
        <v>0</v>
      </c>
      <c r="J51" s="701">
        <v>1</v>
      </c>
      <c r="K51" s="701">
        <v>0</v>
      </c>
      <c r="L51" s="701"/>
      <c r="M51" s="701">
        <v>0</v>
      </c>
      <c r="N51" s="701">
        <v>1</v>
      </c>
      <c r="O51" s="701">
        <v>0</v>
      </c>
      <c r="P51" s="723"/>
      <c r="Q51" s="702">
        <v>0</v>
      </c>
    </row>
    <row r="52" spans="1:17" ht="14.4" customHeight="1" x14ac:dyDescent="0.3">
      <c r="A52" s="696" t="s">
        <v>505</v>
      </c>
      <c r="B52" s="697" t="s">
        <v>2718</v>
      </c>
      <c r="C52" s="697" t="s">
        <v>2708</v>
      </c>
      <c r="D52" s="697" t="s">
        <v>2790</v>
      </c>
      <c r="E52" s="697" t="s">
        <v>2792</v>
      </c>
      <c r="F52" s="701"/>
      <c r="G52" s="701"/>
      <c r="H52" s="701"/>
      <c r="I52" s="701"/>
      <c r="J52" s="701">
        <v>2</v>
      </c>
      <c r="K52" s="701">
        <v>0</v>
      </c>
      <c r="L52" s="701"/>
      <c r="M52" s="701">
        <v>0</v>
      </c>
      <c r="N52" s="701"/>
      <c r="O52" s="701"/>
      <c r="P52" s="723"/>
      <c r="Q52" s="702"/>
    </row>
    <row r="53" spans="1:17" ht="14.4" customHeight="1" x14ac:dyDescent="0.3">
      <c r="A53" s="696" t="s">
        <v>505</v>
      </c>
      <c r="B53" s="697" t="s">
        <v>2718</v>
      </c>
      <c r="C53" s="697" t="s">
        <v>2708</v>
      </c>
      <c r="D53" s="697" t="s">
        <v>2793</v>
      </c>
      <c r="E53" s="697" t="s">
        <v>2794</v>
      </c>
      <c r="F53" s="701">
        <v>2</v>
      </c>
      <c r="G53" s="701">
        <v>0</v>
      </c>
      <c r="H53" s="701"/>
      <c r="I53" s="701">
        <v>0</v>
      </c>
      <c r="J53" s="701"/>
      <c r="K53" s="701"/>
      <c r="L53" s="701"/>
      <c r="M53" s="701"/>
      <c r="N53" s="701"/>
      <c r="O53" s="701"/>
      <c r="P53" s="723"/>
      <c r="Q53" s="702"/>
    </row>
    <row r="54" spans="1:17" ht="14.4" customHeight="1" x14ac:dyDescent="0.3">
      <c r="A54" s="696" t="s">
        <v>505</v>
      </c>
      <c r="B54" s="697" t="s">
        <v>2718</v>
      </c>
      <c r="C54" s="697" t="s">
        <v>2708</v>
      </c>
      <c r="D54" s="697" t="s">
        <v>2795</v>
      </c>
      <c r="E54" s="697" t="s">
        <v>2796</v>
      </c>
      <c r="F54" s="701">
        <v>1</v>
      </c>
      <c r="G54" s="701">
        <v>0</v>
      </c>
      <c r="H54" s="701"/>
      <c r="I54" s="701">
        <v>0</v>
      </c>
      <c r="J54" s="701"/>
      <c r="K54" s="701"/>
      <c r="L54" s="701"/>
      <c r="M54" s="701"/>
      <c r="N54" s="701"/>
      <c r="O54" s="701"/>
      <c r="P54" s="723"/>
      <c r="Q54" s="702"/>
    </row>
    <row r="55" spans="1:17" ht="14.4" customHeight="1" x14ac:dyDescent="0.3">
      <c r="A55" s="696" t="s">
        <v>505</v>
      </c>
      <c r="B55" s="697" t="s">
        <v>2718</v>
      </c>
      <c r="C55" s="697" t="s">
        <v>2708</v>
      </c>
      <c r="D55" s="697" t="s">
        <v>2797</v>
      </c>
      <c r="E55" s="697" t="s">
        <v>2798</v>
      </c>
      <c r="F55" s="701">
        <v>3</v>
      </c>
      <c r="G55" s="701">
        <v>0</v>
      </c>
      <c r="H55" s="701"/>
      <c r="I55" s="701">
        <v>0</v>
      </c>
      <c r="J55" s="701"/>
      <c r="K55" s="701"/>
      <c r="L55" s="701"/>
      <c r="M55" s="701"/>
      <c r="N55" s="701"/>
      <c r="O55" s="701"/>
      <c r="P55" s="723"/>
      <c r="Q55" s="702"/>
    </row>
    <row r="56" spans="1:17" ht="14.4" customHeight="1" x14ac:dyDescent="0.3">
      <c r="A56" s="696" t="s">
        <v>505</v>
      </c>
      <c r="B56" s="697" t="s">
        <v>2718</v>
      </c>
      <c r="C56" s="697" t="s">
        <v>2708</v>
      </c>
      <c r="D56" s="697" t="s">
        <v>2799</v>
      </c>
      <c r="E56" s="697" t="s">
        <v>2800</v>
      </c>
      <c r="F56" s="701"/>
      <c r="G56" s="701"/>
      <c r="H56" s="701"/>
      <c r="I56" s="701"/>
      <c r="J56" s="701">
        <v>2</v>
      </c>
      <c r="K56" s="701">
        <v>0</v>
      </c>
      <c r="L56" s="701"/>
      <c r="M56" s="701">
        <v>0</v>
      </c>
      <c r="N56" s="701"/>
      <c r="O56" s="701"/>
      <c r="P56" s="723"/>
      <c r="Q56" s="702"/>
    </row>
    <row r="57" spans="1:17" ht="14.4" customHeight="1" x14ac:dyDescent="0.3">
      <c r="A57" s="696" t="s">
        <v>505</v>
      </c>
      <c r="B57" s="697" t="s">
        <v>2718</v>
      </c>
      <c r="C57" s="697" t="s">
        <v>2708</v>
      </c>
      <c r="D57" s="697" t="s">
        <v>2801</v>
      </c>
      <c r="E57" s="697" t="s">
        <v>2802</v>
      </c>
      <c r="F57" s="701">
        <v>2</v>
      </c>
      <c r="G57" s="701">
        <v>0</v>
      </c>
      <c r="H57" s="701"/>
      <c r="I57" s="701">
        <v>0</v>
      </c>
      <c r="J57" s="701">
        <v>1</v>
      </c>
      <c r="K57" s="701">
        <v>0</v>
      </c>
      <c r="L57" s="701"/>
      <c r="M57" s="701">
        <v>0</v>
      </c>
      <c r="N57" s="701"/>
      <c r="O57" s="701"/>
      <c r="P57" s="723"/>
      <c r="Q57" s="702"/>
    </row>
    <row r="58" spans="1:17" ht="14.4" customHeight="1" x14ac:dyDescent="0.3">
      <c r="A58" s="696" t="s">
        <v>505</v>
      </c>
      <c r="B58" s="697" t="s">
        <v>2718</v>
      </c>
      <c r="C58" s="697" t="s">
        <v>2708</v>
      </c>
      <c r="D58" s="697" t="s">
        <v>2803</v>
      </c>
      <c r="E58" s="697" t="s">
        <v>2804</v>
      </c>
      <c r="F58" s="701"/>
      <c r="G58" s="701"/>
      <c r="H58" s="701"/>
      <c r="I58" s="701"/>
      <c r="J58" s="701"/>
      <c r="K58" s="701"/>
      <c r="L58" s="701"/>
      <c r="M58" s="701"/>
      <c r="N58" s="701">
        <v>1</v>
      </c>
      <c r="O58" s="701">
        <v>0</v>
      </c>
      <c r="P58" s="723"/>
      <c r="Q58" s="702">
        <v>0</v>
      </c>
    </row>
    <row r="59" spans="1:17" ht="14.4" customHeight="1" x14ac:dyDescent="0.3">
      <c r="A59" s="696" t="s">
        <v>505</v>
      </c>
      <c r="B59" s="697" t="s">
        <v>2718</v>
      </c>
      <c r="C59" s="697" t="s">
        <v>2708</v>
      </c>
      <c r="D59" s="697" t="s">
        <v>2805</v>
      </c>
      <c r="E59" s="697" t="s">
        <v>2806</v>
      </c>
      <c r="F59" s="701">
        <v>4</v>
      </c>
      <c r="G59" s="701">
        <v>0</v>
      </c>
      <c r="H59" s="701"/>
      <c r="I59" s="701">
        <v>0</v>
      </c>
      <c r="J59" s="701"/>
      <c r="K59" s="701"/>
      <c r="L59" s="701"/>
      <c r="M59" s="701"/>
      <c r="N59" s="701">
        <v>1</v>
      </c>
      <c r="O59" s="701">
        <v>0</v>
      </c>
      <c r="P59" s="723"/>
      <c r="Q59" s="702">
        <v>0</v>
      </c>
    </row>
    <row r="60" spans="1:17" ht="14.4" customHeight="1" x14ac:dyDescent="0.3">
      <c r="A60" s="696" t="s">
        <v>505</v>
      </c>
      <c r="B60" s="697" t="s">
        <v>2718</v>
      </c>
      <c r="C60" s="697" t="s">
        <v>2708</v>
      </c>
      <c r="D60" s="697" t="s">
        <v>2807</v>
      </c>
      <c r="E60" s="697" t="s">
        <v>2808</v>
      </c>
      <c r="F60" s="701"/>
      <c r="G60" s="701"/>
      <c r="H60" s="701"/>
      <c r="I60" s="701"/>
      <c r="J60" s="701"/>
      <c r="K60" s="701"/>
      <c r="L60" s="701"/>
      <c r="M60" s="701"/>
      <c r="N60" s="701">
        <v>1</v>
      </c>
      <c r="O60" s="701">
        <v>0</v>
      </c>
      <c r="P60" s="723"/>
      <c r="Q60" s="702">
        <v>0</v>
      </c>
    </row>
    <row r="61" spans="1:17" ht="14.4" customHeight="1" x14ac:dyDescent="0.3">
      <c r="A61" s="696" t="s">
        <v>505</v>
      </c>
      <c r="B61" s="697" t="s">
        <v>2718</v>
      </c>
      <c r="C61" s="697" t="s">
        <v>2708</v>
      </c>
      <c r="D61" s="697" t="s">
        <v>2809</v>
      </c>
      <c r="E61" s="697" t="s">
        <v>2810</v>
      </c>
      <c r="F61" s="701"/>
      <c r="G61" s="701"/>
      <c r="H61" s="701"/>
      <c r="I61" s="701"/>
      <c r="J61" s="701">
        <v>2</v>
      </c>
      <c r="K61" s="701">
        <v>0</v>
      </c>
      <c r="L61" s="701"/>
      <c r="M61" s="701">
        <v>0</v>
      </c>
      <c r="N61" s="701"/>
      <c r="O61" s="701"/>
      <c r="P61" s="723"/>
      <c r="Q61" s="702"/>
    </row>
    <row r="62" spans="1:17" ht="14.4" customHeight="1" x14ac:dyDescent="0.3">
      <c r="A62" s="696" t="s">
        <v>505</v>
      </c>
      <c r="B62" s="697" t="s">
        <v>2718</v>
      </c>
      <c r="C62" s="697" t="s">
        <v>2708</v>
      </c>
      <c r="D62" s="697" t="s">
        <v>2811</v>
      </c>
      <c r="E62" s="697" t="s">
        <v>2812</v>
      </c>
      <c r="F62" s="701">
        <v>1</v>
      </c>
      <c r="G62" s="701">
        <v>0</v>
      </c>
      <c r="H62" s="701"/>
      <c r="I62" s="701">
        <v>0</v>
      </c>
      <c r="J62" s="701"/>
      <c r="K62" s="701"/>
      <c r="L62" s="701"/>
      <c r="M62" s="701"/>
      <c r="N62" s="701"/>
      <c r="O62" s="701"/>
      <c r="P62" s="723"/>
      <c r="Q62" s="702"/>
    </row>
    <row r="63" spans="1:17" ht="14.4" customHeight="1" x14ac:dyDescent="0.3">
      <c r="A63" s="696" t="s">
        <v>505</v>
      </c>
      <c r="B63" s="697" t="s">
        <v>2718</v>
      </c>
      <c r="C63" s="697" t="s">
        <v>2708</v>
      </c>
      <c r="D63" s="697" t="s">
        <v>2813</v>
      </c>
      <c r="E63" s="697" t="s">
        <v>2814</v>
      </c>
      <c r="F63" s="701">
        <v>1</v>
      </c>
      <c r="G63" s="701">
        <v>0</v>
      </c>
      <c r="H63" s="701"/>
      <c r="I63" s="701">
        <v>0</v>
      </c>
      <c r="J63" s="701"/>
      <c r="K63" s="701"/>
      <c r="L63" s="701"/>
      <c r="M63" s="701"/>
      <c r="N63" s="701"/>
      <c r="O63" s="701"/>
      <c r="P63" s="723"/>
      <c r="Q63" s="702"/>
    </row>
    <row r="64" spans="1:17" ht="14.4" customHeight="1" x14ac:dyDescent="0.3">
      <c r="A64" s="696" t="s">
        <v>505</v>
      </c>
      <c r="B64" s="697" t="s">
        <v>2718</v>
      </c>
      <c r="C64" s="697" t="s">
        <v>2708</v>
      </c>
      <c r="D64" s="697" t="s">
        <v>2815</v>
      </c>
      <c r="E64" s="697" t="s">
        <v>2816</v>
      </c>
      <c r="F64" s="701">
        <v>2</v>
      </c>
      <c r="G64" s="701">
        <v>0</v>
      </c>
      <c r="H64" s="701"/>
      <c r="I64" s="701">
        <v>0</v>
      </c>
      <c r="J64" s="701">
        <v>1</v>
      </c>
      <c r="K64" s="701">
        <v>0</v>
      </c>
      <c r="L64" s="701"/>
      <c r="M64" s="701">
        <v>0</v>
      </c>
      <c r="N64" s="701"/>
      <c r="O64" s="701"/>
      <c r="P64" s="723"/>
      <c r="Q64" s="702"/>
    </row>
    <row r="65" spans="1:17" ht="14.4" customHeight="1" x14ac:dyDescent="0.3">
      <c r="A65" s="696" t="s">
        <v>505</v>
      </c>
      <c r="B65" s="697" t="s">
        <v>2718</v>
      </c>
      <c r="C65" s="697" t="s">
        <v>2708</v>
      </c>
      <c r="D65" s="697" t="s">
        <v>2817</v>
      </c>
      <c r="E65" s="697" t="s">
        <v>2818</v>
      </c>
      <c r="F65" s="701">
        <v>1</v>
      </c>
      <c r="G65" s="701">
        <v>0</v>
      </c>
      <c r="H65" s="701"/>
      <c r="I65" s="701">
        <v>0</v>
      </c>
      <c r="J65" s="701"/>
      <c r="K65" s="701"/>
      <c r="L65" s="701"/>
      <c r="M65" s="701"/>
      <c r="N65" s="701"/>
      <c r="O65" s="701"/>
      <c r="P65" s="723"/>
      <c r="Q65" s="702"/>
    </row>
    <row r="66" spans="1:17" ht="14.4" customHeight="1" x14ac:dyDescent="0.3">
      <c r="A66" s="696" t="s">
        <v>505</v>
      </c>
      <c r="B66" s="697" t="s">
        <v>2718</v>
      </c>
      <c r="C66" s="697" t="s">
        <v>2708</v>
      </c>
      <c r="D66" s="697" t="s">
        <v>2819</v>
      </c>
      <c r="E66" s="697" t="s">
        <v>2820</v>
      </c>
      <c r="F66" s="701"/>
      <c r="G66" s="701"/>
      <c r="H66" s="701"/>
      <c r="I66" s="701"/>
      <c r="J66" s="701"/>
      <c r="K66" s="701"/>
      <c r="L66" s="701"/>
      <c r="M66" s="701"/>
      <c r="N66" s="701">
        <v>1</v>
      </c>
      <c r="O66" s="701">
        <v>0</v>
      </c>
      <c r="P66" s="723"/>
      <c r="Q66" s="702">
        <v>0</v>
      </c>
    </row>
    <row r="67" spans="1:17" ht="14.4" customHeight="1" x14ac:dyDescent="0.3">
      <c r="A67" s="696" t="s">
        <v>505</v>
      </c>
      <c r="B67" s="697" t="s">
        <v>2718</v>
      </c>
      <c r="C67" s="697" t="s">
        <v>2708</v>
      </c>
      <c r="D67" s="697" t="s">
        <v>2821</v>
      </c>
      <c r="E67" s="697" t="s">
        <v>2822</v>
      </c>
      <c r="F67" s="701"/>
      <c r="G67" s="701"/>
      <c r="H67" s="701"/>
      <c r="I67" s="701"/>
      <c r="J67" s="701">
        <v>1</v>
      </c>
      <c r="K67" s="701">
        <v>0</v>
      </c>
      <c r="L67" s="701"/>
      <c r="M67" s="701">
        <v>0</v>
      </c>
      <c r="N67" s="701"/>
      <c r="O67" s="701"/>
      <c r="P67" s="723"/>
      <c r="Q67" s="702"/>
    </row>
    <row r="68" spans="1:17" ht="14.4" customHeight="1" x14ac:dyDescent="0.3">
      <c r="A68" s="696" t="s">
        <v>505</v>
      </c>
      <c r="B68" s="697" t="s">
        <v>2718</v>
      </c>
      <c r="C68" s="697" t="s">
        <v>2708</v>
      </c>
      <c r="D68" s="697" t="s">
        <v>2823</v>
      </c>
      <c r="E68" s="697" t="s">
        <v>2824</v>
      </c>
      <c r="F68" s="701"/>
      <c r="G68" s="701"/>
      <c r="H68" s="701"/>
      <c r="I68" s="701"/>
      <c r="J68" s="701">
        <v>1</v>
      </c>
      <c r="K68" s="701">
        <v>0</v>
      </c>
      <c r="L68" s="701"/>
      <c r="M68" s="701">
        <v>0</v>
      </c>
      <c r="N68" s="701"/>
      <c r="O68" s="701"/>
      <c r="P68" s="723"/>
      <c r="Q68" s="702"/>
    </row>
    <row r="69" spans="1:17" ht="14.4" customHeight="1" x14ac:dyDescent="0.3">
      <c r="A69" s="696" t="s">
        <v>505</v>
      </c>
      <c r="B69" s="697" t="s">
        <v>2718</v>
      </c>
      <c r="C69" s="697" t="s">
        <v>2708</v>
      </c>
      <c r="D69" s="697" t="s">
        <v>2825</v>
      </c>
      <c r="E69" s="697" t="s">
        <v>2826</v>
      </c>
      <c r="F69" s="701"/>
      <c r="G69" s="701"/>
      <c r="H69" s="701"/>
      <c r="I69" s="701"/>
      <c r="J69" s="701"/>
      <c r="K69" s="701"/>
      <c r="L69" s="701"/>
      <c r="M69" s="701"/>
      <c r="N69" s="701">
        <v>1</v>
      </c>
      <c r="O69" s="701">
        <v>0</v>
      </c>
      <c r="P69" s="723"/>
      <c r="Q69" s="702">
        <v>0</v>
      </c>
    </row>
    <row r="70" spans="1:17" ht="14.4" customHeight="1" x14ac:dyDescent="0.3">
      <c r="A70" s="696" t="s">
        <v>505</v>
      </c>
      <c r="B70" s="697" t="s">
        <v>2718</v>
      </c>
      <c r="C70" s="697" t="s">
        <v>2708</v>
      </c>
      <c r="D70" s="697" t="s">
        <v>2827</v>
      </c>
      <c r="E70" s="697" t="s">
        <v>2828</v>
      </c>
      <c r="F70" s="701">
        <v>7</v>
      </c>
      <c r="G70" s="701">
        <v>0</v>
      </c>
      <c r="H70" s="701"/>
      <c r="I70" s="701">
        <v>0</v>
      </c>
      <c r="J70" s="701">
        <v>4</v>
      </c>
      <c r="K70" s="701">
        <v>0</v>
      </c>
      <c r="L70" s="701"/>
      <c r="M70" s="701">
        <v>0</v>
      </c>
      <c r="N70" s="701">
        <v>2</v>
      </c>
      <c r="O70" s="701">
        <v>0</v>
      </c>
      <c r="P70" s="723"/>
      <c r="Q70" s="702">
        <v>0</v>
      </c>
    </row>
    <row r="71" spans="1:17" ht="14.4" customHeight="1" x14ac:dyDescent="0.3">
      <c r="A71" s="696" t="s">
        <v>505</v>
      </c>
      <c r="B71" s="697" t="s">
        <v>2718</v>
      </c>
      <c r="C71" s="697" t="s">
        <v>2708</v>
      </c>
      <c r="D71" s="697" t="s">
        <v>2827</v>
      </c>
      <c r="E71" s="697" t="s">
        <v>2829</v>
      </c>
      <c r="F71" s="701">
        <v>13</v>
      </c>
      <c r="G71" s="701">
        <v>0</v>
      </c>
      <c r="H71" s="701"/>
      <c r="I71" s="701">
        <v>0</v>
      </c>
      <c r="J71" s="701">
        <v>8</v>
      </c>
      <c r="K71" s="701">
        <v>0</v>
      </c>
      <c r="L71" s="701"/>
      <c r="M71" s="701">
        <v>0</v>
      </c>
      <c r="N71" s="701"/>
      <c r="O71" s="701"/>
      <c r="P71" s="723"/>
      <c r="Q71" s="702"/>
    </row>
    <row r="72" spans="1:17" ht="14.4" customHeight="1" x14ac:dyDescent="0.3">
      <c r="A72" s="696" t="s">
        <v>505</v>
      </c>
      <c r="B72" s="697" t="s">
        <v>2718</v>
      </c>
      <c r="C72" s="697" t="s">
        <v>2708</v>
      </c>
      <c r="D72" s="697" t="s">
        <v>2830</v>
      </c>
      <c r="E72" s="697" t="s">
        <v>2831</v>
      </c>
      <c r="F72" s="701">
        <v>2</v>
      </c>
      <c r="G72" s="701">
        <v>1536</v>
      </c>
      <c r="H72" s="701"/>
      <c r="I72" s="701">
        <v>768</v>
      </c>
      <c r="J72" s="701"/>
      <c r="K72" s="701"/>
      <c r="L72" s="701"/>
      <c r="M72" s="701"/>
      <c r="N72" s="701">
        <v>2</v>
      </c>
      <c r="O72" s="701">
        <v>1540</v>
      </c>
      <c r="P72" s="723"/>
      <c r="Q72" s="702">
        <v>770</v>
      </c>
    </row>
    <row r="73" spans="1:17" ht="14.4" customHeight="1" x14ac:dyDescent="0.3">
      <c r="A73" s="696" t="s">
        <v>505</v>
      </c>
      <c r="B73" s="697" t="s">
        <v>2718</v>
      </c>
      <c r="C73" s="697" t="s">
        <v>2708</v>
      </c>
      <c r="D73" s="697" t="s">
        <v>2832</v>
      </c>
      <c r="E73" s="697" t="s">
        <v>2833</v>
      </c>
      <c r="F73" s="701">
        <v>1</v>
      </c>
      <c r="G73" s="701">
        <v>532</v>
      </c>
      <c r="H73" s="701">
        <v>1</v>
      </c>
      <c r="I73" s="701">
        <v>532</v>
      </c>
      <c r="J73" s="701">
        <v>1</v>
      </c>
      <c r="K73" s="701">
        <v>532</v>
      </c>
      <c r="L73" s="701">
        <v>1</v>
      </c>
      <c r="M73" s="701">
        <v>532</v>
      </c>
      <c r="N73" s="701">
        <v>1</v>
      </c>
      <c r="O73" s="701">
        <v>534</v>
      </c>
      <c r="P73" s="723">
        <v>1.0037593984962405</v>
      </c>
      <c r="Q73" s="702">
        <v>534</v>
      </c>
    </row>
    <row r="74" spans="1:17" ht="14.4" customHeight="1" x14ac:dyDescent="0.3">
      <c r="A74" s="696" t="s">
        <v>505</v>
      </c>
      <c r="B74" s="697" t="s">
        <v>2718</v>
      </c>
      <c r="C74" s="697" t="s">
        <v>2708</v>
      </c>
      <c r="D74" s="697" t="s">
        <v>2834</v>
      </c>
      <c r="E74" s="697" t="s">
        <v>2835</v>
      </c>
      <c r="F74" s="701"/>
      <c r="G74" s="701"/>
      <c r="H74" s="701"/>
      <c r="I74" s="701"/>
      <c r="J74" s="701"/>
      <c r="K74" s="701"/>
      <c r="L74" s="701"/>
      <c r="M74" s="701"/>
      <c r="N74" s="701">
        <v>1</v>
      </c>
      <c r="O74" s="701">
        <v>2814</v>
      </c>
      <c r="P74" s="723"/>
      <c r="Q74" s="702">
        <v>2814</v>
      </c>
    </row>
    <row r="75" spans="1:17" ht="14.4" customHeight="1" x14ac:dyDescent="0.3">
      <c r="A75" s="696" t="s">
        <v>505</v>
      </c>
      <c r="B75" s="697" t="s">
        <v>2718</v>
      </c>
      <c r="C75" s="697" t="s">
        <v>2708</v>
      </c>
      <c r="D75" s="697" t="s">
        <v>2834</v>
      </c>
      <c r="E75" s="697" t="s">
        <v>2836</v>
      </c>
      <c r="F75" s="701">
        <v>3</v>
      </c>
      <c r="G75" s="701">
        <v>8430</v>
      </c>
      <c r="H75" s="701"/>
      <c r="I75" s="701">
        <v>2810</v>
      </c>
      <c r="J75" s="701"/>
      <c r="K75" s="701"/>
      <c r="L75" s="701"/>
      <c r="M75" s="701"/>
      <c r="N75" s="701"/>
      <c r="O75" s="701"/>
      <c r="P75" s="723"/>
      <c r="Q75" s="702"/>
    </row>
    <row r="76" spans="1:17" ht="14.4" customHeight="1" x14ac:dyDescent="0.3">
      <c r="A76" s="696" t="s">
        <v>505</v>
      </c>
      <c r="B76" s="697" t="s">
        <v>2718</v>
      </c>
      <c r="C76" s="697" t="s">
        <v>2708</v>
      </c>
      <c r="D76" s="697" t="s">
        <v>2837</v>
      </c>
      <c r="E76" s="697" t="s">
        <v>2838</v>
      </c>
      <c r="F76" s="701"/>
      <c r="G76" s="701"/>
      <c r="H76" s="701"/>
      <c r="I76" s="701"/>
      <c r="J76" s="701">
        <v>5</v>
      </c>
      <c r="K76" s="701">
        <v>4200</v>
      </c>
      <c r="L76" s="701">
        <v>1</v>
      </c>
      <c r="M76" s="701">
        <v>840</v>
      </c>
      <c r="N76" s="701"/>
      <c r="O76" s="701"/>
      <c r="P76" s="723"/>
      <c r="Q76" s="702"/>
    </row>
    <row r="77" spans="1:17" ht="14.4" customHeight="1" x14ac:dyDescent="0.3">
      <c r="A77" s="696" t="s">
        <v>505</v>
      </c>
      <c r="B77" s="697" t="s">
        <v>2718</v>
      </c>
      <c r="C77" s="697" t="s">
        <v>2708</v>
      </c>
      <c r="D77" s="697" t="s">
        <v>2837</v>
      </c>
      <c r="E77" s="697" t="s">
        <v>2839</v>
      </c>
      <c r="F77" s="701">
        <v>4</v>
      </c>
      <c r="G77" s="701">
        <v>3356</v>
      </c>
      <c r="H77" s="701">
        <v>0.99880952380952381</v>
      </c>
      <c r="I77" s="701">
        <v>839</v>
      </c>
      <c r="J77" s="701">
        <v>4</v>
      </c>
      <c r="K77" s="701">
        <v>3360</v>
      </c>
      <c r="L77" s="701">
        <v>1</v>
      </c>
      <c r="M77" s="701">
        <v>840</v>
      </c>
      <c r="N77" s="701"/>
      <c r="O77" s="701"/>
      <c r="P77" s="723"/>
      <c r="Q77" s="702"/>
    </row>
    <row r="78" spans="1:17" ht="14.4" customHeight="1" x14ac:dyDescent="0.3">
      <c r="A78" s="696" t="s">
        <v>505</v>
      </c>
      <c r="B78" s="697" t="s">
        <v>2718</v>
      </c>
      <c r="C78" s="697" t="s">
        <v>2708</v>
      </c>
      <c r="D78" s="697" t="s">
        <v>2840</v>
      </c>
      <c r="E78" s="697" t="s">
        <v>2841</v>
      </c>
      <c r="F78" s="701"/>
      <c r="G78" s="701"/>
      <c r="H78" s="701"/>
      <c r="I78" s="701"/>
      <c r="J78" s="701">
        <v>1</v>
      </c>
      <c r="K78" s="701">
        <v>700</v>
      </c>
      <c r="L78" s="701">
        <v>1</v>
      </c>
      <c r="M78" s="701">
        <v>700</v>
      </c>
      <c r="N78" s="701"/>
      <c r="O78" s="701"/>
      <c r="P78" s="723"/>
      <c r="Q78" s="702"/>
    </row>
    <row r="79" spans="1:17" ht="14.4" customHeight="1" x14ac:dyDescent="0.3">
      <c r="A79" s="696" t="s">
        <v>505</v>
      </c>
      <c r="B79" s="697" t="s">
        <v>2718</v>
      </c>
      <c r="C79" s="697" t="s">
        <v>2708</v>
      </c>
      <c r="D79" s="697" t="s">
        <v>2842</v>
      </c>
      <c r="E79" s="697" t="s">
        <v>2843</v>
      </c>
      <c r="F79" s="701">
        <v>1</v>
      </c>
      <c r="G79" s="701">
        <v>6285</v>
      </c>
      <c r="H79" s="701">
        <v>0.99952290076335881</v>
      </c>
      <c r="I79" s="701">
        <v>6285</v>
      </c>
      <c r="J79" s="701">
        <v>1</v>
      </c>
      <c r="K79" s="701">
        <v>6288</v>
      </c>
      <c r="L79" s="701">
        <v>1</v>
      </c>
      <c r="M79" s="701">
        <v>6288</v>
      </c>
      <c r="N79" s="701"/>
      <c r="O79" s="701"/>
      <c r="P79" s="723"/>
      <c r="Q79" s="702"/>
    </row>
    <row r="80" spans="1:17" ht="14.4" customHeight="1" x14ac:dyDescent="0.3">
      <c r="A80" s="696" t="s">
        <v>505</v>
      </c>
      <c r="B80" s="697" t="s">
        <v>2718</v>
      </c>
      <c r="C80" s="697" t="s">
        <v>2708</v>
      </c>
      <c r="D80" s="697" t="s">
        <v>2844</v>
      </c>
      <c r="E80" s="697" t="s">
        <v>2845</v>
      </c>
      <c r="F80" s="701">
        <v>6</v>
      </c>
      <c r="G80" s="701">
        <v>56046</v>
      </c>
      <c r="H80" s="701">
        <v>1.4991975176546115</v>
      </c>
      <c r="I80" s="701">
        <v>9341</v>
      </c>
      <c r="J80" s="701">
        <v>4</v>
      </c>
      <c r="K80" s="701">
        <v>37384</v>
      </c>
      <c r="L80" s="701">
        <v>1</v>
      </c>
      <c r="M80" s="701">
        <v>9346</v>
      </c>
      <c r="N80" s="701"/>
      <c r="O80" s="701"/>
      <c r="P80" s="723"/>
      <c r="Q80" s="702"/>
    </row>
    <row r="81" spans="1:17" ht="14.4" customHeight="1" x14ac:dyDescent="0.3">
      <c r="A81" s="696" t="s">
        <v>505</v>
      </c>
      <c r="B81" s="697" t="s">
        <v>2718</v>
      </c>
      <c r="C81" s="697" t="s">
        <v>2708</v>
      </c>
      <c r="D81" s="697" t="s">
        <v>2844</v>
      </c>
      <c r="E81" s="697" t="s">
        <v>2846</v>
      </c>
      <c r="F81" s="701">
        <v>4</v>
      </c>
      <c r="G81" s="701">
        <v>37364</v>
      </c>
      <c r="H81" s="701">
        <v>1.3326200156929882</v>
      </c>
      <c r="I81" s="701">
        <v>9341</v>
      </c>
      <c r="J81" s="701">
        <v>3</v>
      </c>
      <c r="K81" s="701">
        <v>28038</v>
      </c>
      <c r="L81" s="701">
        <v>1</v>
      </c>
      <c r="M81" s="701">
        <v>9346</v>
      </c>
      <c r="N81" s="701">
        <v>2</v>
      </c>
      <c r="O81" s="701">
        <v>18722</v>
      </c>
      <c r="P81" s="723">
        <v>0.6677366431271845</v>
      </c>
      <c r="Q81" s="702">
        <v>9361</v>
      </c>
    </row>
    <row r="82" spans="1:17" ht="14.4" customHeight="1" x14ac:dyDescent="0.3">
      <c r="A82" s="696" t="s">
        <v>505</v>
      </c>
      <c r="B82" s="697" t="s">
        <v>2718</v>
      </c>
      <c r="C82" s="697" t="s">
        <v>2708</v>
      </c>
      <c r="D82" s="697" t="s">
        <v>2847</v>
      </c>
      <c r="E82" s="697" t="s">
        <v>2848</v>
      </c>
      <c r="F82" s="701"/>
      <c r="G82" s="701"/>
      <c r="H82" s="701"/>
      <c r="I82" s="701"/>
      <c r="J82" s="701">
        <v>1</v>
      </c>
      <c r="K82" s="701">
        <v>445</v>
      </c>
      <c r="L82" s="701">
        <v>1</v>
      </c>
      <c r="M82" s="701">
        <v>445</v>
      </c>
      <c r="N82" s="701">
        <v>11</v>
      </c>
      <c r="O82" s="701">
        <v>4906</v>
      </c>
      <c r="P82" s="723">
        <v>11.024719101123596</v>
      </c>
      <c r="Q82" s="702">
        <v>446</v>
      </c>
    </row>
    <row r="83" spans="1:17" ht="14.4" customHeight="1" x14ac:dyDescent="0.3">
      <c r="A83" s="696" t="s">
        <v>505</v>
      </c>
      <c r="B83" s="697" t="s">
        <v>2718</v>
      </c>
      <c r="C83" s="697" t="s">
        <v>2708</v>
      </c>
      <c r="D83" s="697" t="s">
        <v>2847</v>
      </c>
      <c r="E83" s="697" t="s">
        <v>2849</v>
      </c>
      <c r="F83" s="701"/>
      <c r="G83" s="701"/>
      <c r="H83" s="701"/>
      <c r="I83" s="701"/>
      <c r="J83" s="701">
        <v>2</v>
      </c>
      <c r="K83" s="701">
        <v>890</v>
      </c>
      <c r="L83" s="701">
        <v>1</v>
      </c>
      <c r="M83" s="701">
        <v>445</v>
      </c>
      <c r="N83" s="701">
        <v>3</v>
      </c>
      <c r="O83" s="701">
        <v>1337</v>
      </c>
      <c r="P83" s="723">
        <v>1.502247191011236</v>
      </c>
      <c r="Q83" s="702">
        <v>445.66666666666669</v>
      </c>
    </row>
    <row r="84" spans="1:17" ht="14.4" customHeight="1" x14ac:dyDescent="0.3">
      <c r="A84" s="696" t="s">
        <v>505</v>
      </c>
      <c r="B84" s="697" t="s">
        <v>2718</v>
      </c>
      <c r="C84" s="697" t="s">
        <v>2708</v>
      </c>
      <c r="D84" s="697" t="s">
        <v>2850</v>
      </c>
      <c r="E84" s="697" t="s">
        <v>2851</v>
      </c>
      <c r="F84" s="701">
        <v>10</v>
      </c>
      <c r="G84" s="701">
        <v>8650</v>
      </c>
      <c r="H84" s="701">
        <v>0.43478260869565216</v>
      </c>
      <c r="I84" s="701">
        <v>865</v>
      </c>
      <c r="J84" s="701">
        <v>23</v>
      </c>
      <c r="K84" s="701">
        <v>19895</v>
      </c>
      <c r="L84" s="701">
        <v>1</v>
      </c>
      <c r="M84" s="701">
        <v>865</v>
      </c>
      <c r="N84" s="701">
        <v>42</v>
      </c>
      <c r="O84" s="701">
        <v>36371</v>
      </c>
      <c r="P84" s="723">
        <v>1.8281477758230711</v>
      </c>
      <c r="Q84" s="702">
        <v>865.97619047619048</v>
      </c>
    </row>
    <row r="85" spans="1:17" ht="14.4" customHeight="1" x14ac:dyDescent="0.3">
      <c r="A85" s="696" t="s">
        <v>505</v>
      </c>
      <c r="B85" s="697" t="s">
        <v>2718</v>
      </c>
      <c r="C85" s="697" t="s">
        <v>2708</v>
      </c>
      <c r="D85" s="697" t="s">
        <v>2852</v>
      </c>
      <c r="E85" s="697" t="s">
        <v>2853</v>
      </c>
      <c r="F85" s="701"/>
      <c r="G85" s="701"/>
      <c r="H85" s="701"/>
      <c r="I85" s="701"/>
      <c r="J85" s="701">
        <v>1</v>
      </c>
      <c r="K85" s="701">
        <v>0</v>
      </c>
      <c r="L85" s="701"/>
      <c r="M85" s="701">
        <v>0</v>
      </c>
      <c r="N85" s="701"/>
      <c r="O85" s="701"/>
      <c r="P85" s="723"/>
      <c r="Q85" s="702"/>
    </row>
    <row r="86" spans="1:17" ht="14.4" customHeight="1" x14ac:dyDescent="0.3">
      <c r="A86" s="696" t="s">
        <v>505</v>
      </c>
      <c r="B86" s="697" t="s">
        <v>2718</v>
      </c>
      <c r="C86" s="697" t="s">
        <v>2708</v>
      </c>
      <c r="D86" s="697" t="s">
        <v>2854</v>
      </c>
      <c r="E86" s="697" t="s">
        <v>2855</v>
      </c>
      <c r="F86" s="701">
        <v>13</v>
      </c>
      <c r="G86" s="701">
        <v>46956</v>
      </c>
      <c r="H86" s="701">
        <v>1.8561151079136691</v>
      </c>
      <c r="I86" s="701">
        <v>3612</v>
      </c>
      <c r="J86" s="701">
        <v>7</v>
      </c>
      <c r="K86" s="701">
        <v>25298</v>
      </c>
      <c r="L86" s="701">
        <v>1</v>
      </c>
      <c r="M86" s="701">
        <v>3614</v>
      </c>
      <c r="N86" s="701">
        <v>5</v>
      </c>
      <c r="O86" s="701">
        <v>18095</v>
      </c>
      <c r="P86" s="723">
        <v>0.71527393469839518</v>
      </c>
      <c r="Q86" s="702">
        <v>3619</v>
      </c>
    </row>
    <row r="87" spans="1:17" ht="14.4" customHeight="1" x14ac:dyDescent="0.3">
      <c r="A87" s="696" t="s">
        <v>505</v>
      </c>
      <c r="B87" s="697" t="s">
        <v>2718</v>
      </c>
      <c r="C87" s="697" t="s">
        <v>2708</v>
      </c>
      <c r="D87" s="697" t="s">
        <v>2856</v>
      </c>
      <c r="E87" s="697" t="s">
        <v>2857</v>
      </c>
      <c r="F87" s="701">
        <v>1</v>
      </c>
      <c r="G87" s="701">
        <v>0</v>
      </c>
      <c r="H87" s="701"/>
      <c r="I87" s="701">
        <v>0</v>
      </c>
      <c r="J87" s="701"/>
      <c r="K87" s="701"/>
      <c r="L87" s="701"/>
      <c r="M87" s="701"/>
      <c r="N87" s="701"/>
      <c r="O87" s="701"/>
      <c r="P87" s="723"/>
      <c r="Q87" s="702"/>
    </row>
    <row r="88" spans="1:17" ht="14.4" customHeight="1" x14ac:dyDescent="0.3">
      <c r="A88" s="696" t="s">
        <v>505</v>
      </c>
      <c r="B88" s="697" t="s">
        <v>2718</v>
      </c>
      <c r="C88" s="697" t="s">
        <v>2708</v>
      </c>
      <c r="D88" s="697" t="s">
        <v>2858</v>
      </c>
      <c r="E88" s="697" t="s">
        <v>2859</v>
      </c>
      <c r="F88" s="701">
        <v>2</v>
      </c>
      <c r="G88" s="701">
        <v>2130</v>
      </c>
      <c r="H88" s="701"/>
      <c r="I88" s="701">
        <v>1065</v>
      </c>
      <c r="J88" s="701"/>
      <c r="K88" s="701"/>
      <c r="L88" s="701"/>
      <c r="M88" s="701"/>
      <c r="N88" s="701"/>
      <c r="O88" s="701"/>
      <c r="P88" s="723"/>
      <c r="Q88" s="702"/>
    </row>
    <row r="89" spans="1:17" ht="14.4" customHeight="1" x14ac:dyDescent="0.3">
      <c r="A89" s="696" t="s">
        <v>505</v>
      </c>
      <c r="B89" s="697" t="s">
        <v>2718</v>
      </c>
      <c r="C89" s="697" t="s">
        <v>2708</v>
      </c>
      <c r="D89" s="697" t="s">
        <v>2860</v>
      </c>
      <c r="E89" s="697" t="s">
        <v>2861</v>
      </c>
      <c r="F89" s="701">
        <v>1</v>
      </c>
      <c r="G89" s="701">
        <v>3741</v>
      </c>
      <c r="H89" s="701">
        <v>0.99919871794871795</v>
      </c>
      <c r="I89" s="701">
        <v>3741</v>
      </c>
      <c r="J89" s="701">
        <v>1</v>
      </c>
      <c r="K89" s="701">
        <v>3744</v>
      </c>
      <c r="L89" s="701">
        <v>1</v>
      </c>
      <c r="M89" s="701">
        <v>3744</v>
      </c>
      <c r="N89" s="701">
        <v>2</v>
      </c>
      <c r="O89" s="701">
        <v>7504</v>
      </c>
      <c r="P89" s="723">
        <v>2.0042735042735043</v>
      </c>
      <c r="Q89" s="702">
        <v>3752</v>
      </c>
    </row>
    <row r="90" spans="1:17" ht="14.4" customHeight="1" x14ac:dyDescent="0.3">
      <c r="A90" s="696" t="s">
        <v>505</v>
      </c>
      <c r="B90" s="697" t="s">
        <v>2718</v>
      </c>
      <c r="C90" s="697" t="s">
        <v>2708</v>
      </c>
      <c r="D90" s="697" t="s">
        <v>2862</v>
      </c>
      <c r="E90" s="697" t="s">
        <v>2863</v>
      </c>
      <c r="F90" s="701"/>
      <c r="G90" s="701"/>
      <c r="H90" s="701"/>
      <c r="I90" s="701"/>
      <c r="J90" s="701">
        <v>1</v>
      </c>
      <c r="K90" s="701">
        <v>183</v>
      </c>
      <c r="L90" s="701">
        <v>1</v>
      </c>
      <c r="M90" s="701">
        <v>183</v>
      </c>
      <c r="N90" s="701"/>
      <c r="O90" s="701"/>
      <c r="P90" s="723"/>
      <c r="Q90" s="702"/>
    </row>
    <row r="91" spans="1:17" ht="14.4" customHeight="1" x14ac:dyDescent="0.3">
      <c r="A91" s="696" t="s">
        <v>505</v>
      </c>
      <c r="B91" s="697" t="s">
        <v>2718</v>
      </c>
      <c r="C91" s="697" t="s">
        <v>2708</v>
      </c>
      <c r="D91" s="697" t="s">
        <v>2864</v>
      </c>
      <c r="E91" s="697" t="s">
        <v>2865</v>
      </c>
      <c r="F91" s="701">
        <v>3</v>
      </c>
      <c r="G91" s="701">
        <v>5952</v>
      </c>
      <c r="H91" s="701"/>
      <c r="I91" s="701">
        <v>1984</v>
      </c>
      <c r="J91" s="701"/>
      <c r="K91" s="701"/>
      <c r="L91" s="701"/>
      <c r="M91" s="701"/>
      <c r="N91" s="701"/>
      <c r="O91" s="701"/>
      <c r="P91" s="723"/>
      <c r="Q91" s="702"/>
    </row>
    <row r="92" spans="1:17" ht="14.4" customHeight="1" x14ac:dyDescent="0.3">
      <c r="A92" s="696" t="s">
        <v>505</v>
      </c>
      <c r="B92" s="697" t="s">
        <v>2718</v>
      </c>
      <c r="C92" s="697" t="s">
        <v>2708</v>
      </c>
      <c r="D92" s="697" t="s">
        <v>2866</v>
      </c>
      <c r="E92" s="697" t="s">
        <v>2867</v>
      </c>
      <c r="F92" s="701">
        <v>0</v>
      </c>
      <c r="G92" s="701">
        <v>0</v>
      </c>
      <c r="H92" s="701"/>
      <c r="I92" s="701"/>
      <c r="J92" s="701"/>
      <c r="K92" s="701"/>
      <c r="L92" s="701"/>
      <c r="M92" s="701"/>
      <c r="N92" s="701"/>
      <c r="O92" s="701"/>
      <c r="P92" s="723"/>
      <c r="Q92" s="702"/>
    </row>
    <row r="93" spans="1:17" ht="14.4" customHeight="1" x14ac:dyDescent="0.3">
      <c r="A93" s="696" t="s">
        <v>505</v>
      </c>
      <c r="B93" s="697" t="s">
        <v>2718</v>
      </c>
      <c r="C93" s="697" t="s">
        <v>2708</v>
      </c>
      <c r="D93" s="697" t="s">
        <v>2866</v>
      </c>
      <c r="E93" s="697" t="s">
        <v>2868</v>
      </c>
      <c r="F93" s="701">
        <v>0</v>
      </c>
      <c r="G93" s="701">
        <v>0</v>
      </c>
      <c r="H93" s="701"/>
      <c r="I93" s="701"/>
      <c r="J93" s="701"/>
      <c r="K93" s="701"/>
      <c r="L93" s="701"/>
      <c r="M93" s="701"/>
      <c r="N93" s="701"/>
      <c r="O93" s="701"/>
      <c r="P93" s="723"/>
      <c r="Q93" s="702"/>
    </row>
    <row r="94" spans="1:17" ht="14.4" customHeight="1" x14ac:dyDescent="0.3">
      <c r="A94" s="696" t="s">
        <v>505</v>
      </c>
      <c r="B94" s="697" t="s">
        <v>2718</v>
      </c>
      <c r="C94" s="697" t="s">
        <v>2708</v>
      </c>
      <c r="D94" s="697" t="s">
        <v>2869</v>
      </c>
      <c r="E94" s="697" t="s">
        <v>2870</v>
      </c>
      <c r="F94" s="701">
        <v>8</v>
      </c>
      <c r="G94" s="701">
        <v>128600</v>
      </c>
      <c r="H94" s="701">
        <v>1.9988808754041283</v>
      </c>
      <c r="I94" s="701">
        <v>16075</v>
      </c>
      <c r="J94" s="701">
        <v>4</v>
      </c>
      <c r="K94" s="701">
        <v>64336</v>
      </c>
      <c r="L94" s="701">
        <v>1</v>
      </c>
      <c r="M94" s="701">
        <v>16084</v>
      </c>
      <c r="N94" s="701"/>
      <c r="O94" s="701"/>
      <c r="P94" s="723"/>
      <c r="Q94" s="702"/>
    </row>
    <row r="95" spans="1:17" ht="14.4" customHeight="1" x14ac:dyDescent="0.3">
      <c r="A95" s="696" t="s">
        <v>505</v>
      </c>
      <c r="B95" s="697" t="s">
        <v>2718</v>
      </c>
      <c r="C95" s="697" t="s">
        <v>2708</v>
      </c>
      <c r="D95" s="697" t="s">
        <v>2871</v>
      </c>
      <c r="E95" s="697" t="s">
        <v>2872</v>
      </c>
      <c r="F95" s="701"/>
      <c r="G95" s="701"/>
      <c r="H95" s="701"/>
      <c r="I95" s="701"/>
      <c r="J95" s="701">
        <v>2</v>
      </c>
      <c r="K95" s="701">
        <v>0</v>
      </c>
      <c r="L95" s="701"/>
      <c r="M95" s="701">
        <v>0</v>
      </c>
      <c r="N95" s="701"/>
      <c r="O95" s="701"/>
      <c r="P95" s="723"/>
      <c r="Q95" s="702"/>
    </row>
    <row r="96" spans="1:17" ht="14.4" customHeight="1" x14ac:dyDescent="0.3">
      <c r="A96" s="696" t="s">
        <v>505</v>
      </c>
      <c r="B96" s="697" t="s">
        <v>2718</v>
      </c>
      <c r="C96" s="697" t="s">
        <v>2708</v>
      </c>
      <c r="D96" s="697" t="s">
        <v>2871</v>
      </c>
      <c r="E96" s="697" t="s">
        <v>2873</v>
      </c>
      <c r="F96" s="701">
        <v>6</v>
      </c>
      <c r="G96" s="701">
        <v>0</v>
      </c>
      <c r="H96" s="701"/>
      <c r="I96" s="701">
        <v>0</v>
      </c>
      <c r="J96" s="701">
        <v>4</v>
      </c>
      <c r="K96" s="701">
        <v>0</v>
      </c>
      <c r="L96" s="701"/>
      <c r="M96" s="701">
        <v>0</v>
      </c>
      <c r="N96" s="701"/>
      <c r="O96" s="701"/>
      <c r="P96" s="723"/>
      <c r="Q96" s="702"/>
    </row>
    <row r="97" spans="1:17" ht="14.4" customHeight="1" x14ac:dyDescent="0.3">
      <c r="A97" s="696" t="s">
        <v>505</v>
      </c>
      <c r="B97" s="697" t="s">
        <v>2718</v>
      </c>
      <c r="C97" s="697" t="s">
        <v>2708</v>
      </c>
      <c r="D97" s="697" t="s">
        <v>2874</v>
      </c>
      <c r="E97" s="697" t="s">
        <v>2875</v>
      </c>
      <c r="F97" s="701">
        <v>1</v>
      </c>
      <c r="G97" s="701">
        <v>364</v>
      </c>
      <c r="H97" s="701">
        <v>0.93333333333333335</v>
      </c>
      <c r="I97" s="701">
        <v>364</v>
      </c>
      <c r="J97" s="701">
        <v>1</v>
      </c>
      <c r="K97" s="701">
        <v>390</v>
      </c>
      <c r="L97" s="701">
        <v>1</v>
      </c>
      <c r="M97" s="701">
        <v>390</v>
      </c>
      <c r="N97" s="701">
        <v>14</v>
      </c>
      <c r="O97" s="701">
        <v>5474</v>
      </c>
      <c r="P97" s="723">
        <v>14.035897435897436</v>
      </c>
      <c r="Q97" s="702">
        <v>391</v>
      </c>
    </row>
    <row r="98" spans="1:17" ht="14.4" customHeight="1" x14ac:dyDescent="0.3">
      <c r="A98" s="696" t="s">
        <v>505</v>
      </c>
      <c r="B98" s="697" t="s">
        <v>2718</v>
      </c>
      <c r="C98" s="697" t="s">
        <v>2708</v>
      </c>
      <c r="D98" s="697" t="s">
        <v>2876</v>
      </c>
      <c r="E98" s="697" t="s">
        <v>2877</v>
      </c>
      <c r="F98" s="701"/>
      <c r="G98" s="701"/>
      <c r="H98" s="701"/>
      <c r="I98" s="701"/>
      <c r="J98" s="701">
        <v>2</v>
      </c>
      <c r="K98" s="701">
        <v>0</v>
      </c>
      <c r="L98" s="701"/>
      <c r="M98" s="701">
        <v>0</v>
      </c>
      <c r="N98" s="701"/>
      <c r="O98" s="701"/>
      <c r="P98" s="723"/>
      <c r="Q98" s="702"/>
    </row>
    <row r="99" spans="1:17" ht="14.4" customHeight="1" x14ac:dyDescent="0.3">
      <c r="A99" s="696" t="s">
        <v>505</v>
      </c>
      <c r="B99" s="697" t="s">
        <v>2718</v>
      </c>
      <c r="C99" s="697" t="s">
        <v>2708</v>
      </c>
      <c r="D99" s="697" t="s">
        <v>2876</v>
      </c>
      <c r="E99" s="697" t="s">
        <v>2878</v>
      </c>
      <c r="F99" s="701">
        <v>1</v>
      </c>
      <c r="G99" s="701">
        <v>0</v>
      </c>
      <c r="H99" s="701"/>
      <c r="I99" s="701">
        <v>0</v>
      </c>
      <c r="J99" s="701"/>
      <c r="K99" s="701"/>
      <c r="L99" s="701"/>
      <c r="M99" s="701"/>
      <c r="N99" s="701"/>
      <c r="O99" s="701"/>
      <c r="P99" s="723"/>
      <c r="Q99" s="702"/>
    </row>
    <row r="100" spans="1:17" ht="14.4" customHeight="1" x14ac:dyDescent="0.3">
      <c r="A100" s="696" t="s">
        <v>505</v>
      </c>
      <c r="B100" s="697" t="s">
        <v>2718</v>
      </c>
      <c r="C100" s="697" t="s">
        <v>2708</v>
      </c>
      <c r="D100" s="697" t="s">
        <v>2879</v>
      </c>
      <c r="E100" s="697" t="s">
        <v>2880</v>
      </c>
      <c r="F100" s="701"/>
      <c r="G100" s="701"/>
      <c r="H100" s="701"/>
      <c r="I100" s="701"/>
      <c r="J100" s="701">
        <v>1</v>
      </c>
      <c r="K100" s="701">
        <v>2227</v>
      </c>
      <c r="L100" s="701">
        <v>1</v>
      </c>
      <c r="M100" s="701">
        <v>2227</v>
      </c>
      <c r="N100" s="701">
        <v>1</v>
      </c>
      <c r="O100" s="701">
        <v>2230</v>
      </c>
      <c r="P100" s="723">
        <v>1.001347103726987</v>
      </c>
      <c r="Q100" s="702">
        <v>2230</v>
      </c>
    </row>
    <row r="101" spans="1:17" ht="14.4" customHeight="1" x14ac:dyDescent="0.3">
      <c r="A101" s="696" t="s">
        <v>505</v>
      </c>
      <c r="B101" s="697" t="s">
        <v>2718</v>
      </c>
      <c r="C101" s="697" t="s">
        <v>2708</v>
      </c>
      <c r="D101" s="697" t="s">
        <v>2881</v>
      </c>
      <c r="E101" s="697" t="s">
        <v>2882</v>
      </c>
      <c r="F101" s="701">
        <v>1</v>
      </c>
      <c r="G101" s="701">
        <v>10703</v>
      </c>
      <c r="H101" s="701"/>
      <c r="I101" s="701">
        <v>10703</v>
      </c>
      <c r="J101" s="701"/>
      <c r="K101" s="701"/>
      <c r="L101" s="701"/>
      <c r="M101" s="701"/>
      <c r="N101" s="701"/>
      <c r="O101" s="701"/>
      <c r="P101" s="723"/>
      <c r="Q101" s="702"/>
    </row>
    <row r="102" spans="1:17" ht="14.4" customHeight="1" x14ac:dyDescent="0.3">
      <c r="A102" s="696" t="s">
        <v>505</v>
      </c>
      <c r="B102" s="697" t="s">
        <v>2718</v>
      </c>
      <c r="C102" s="697" t="s">
        <v>2708</v>
      </c>
      <c r="D102" s="697" t="s">
        <v>2883</v>
      </c>
      <c r="E102" s="697" t="s">
        <v>2884</v>
      </c>
      <c r="F102" s="701">
        <v>1</v>
      </c>
      <c r="G102" s="701">
        <v>7472</v>
      </c>
      <c r="H102" s="701"/>
      <c r="I102" s="701">
        <v>7472</v>
      </c>
      <c r="J102" s="701"/>
      <c r="K102" s="701"/>
      <c r="L102" s="701"/>
      <c r="M102" s="701"/>
      <c r="N102" s="701"/>
      <c r="O102" s="701"/>
      <c r="P102" s="723"/>
      <c r="Q102" s="702"/>
    </row>
    <row r="103" spans="1:17" ht="14.4" customHeight="1" x14ac:dyDescent="0.3">
      <c r="A103" s="696" t="s">
        <v>505</v>
      </c>
      <c r="B103" s="697" t="s">
        <v>2718</v>
      </c>
      <c r="C103" s="697" t="s">
        <v>2708</v>
      </c>
      <c r="D103" s="697" t="s">
        <v>2885</v>
      </c>
      <c r="E103" s="697" t="s">
        <v>2886</v>
      </c>
      <c r="F103" s="701">
        <v>1</v>
      </c>
      <c r="G103" s="701">
        <v>6998</v>
      </c>
      <c r="H103" s="701"/>
      <c r="I103" s="701">
        <v>6998</v>
      </c>
      <c r="J103" s="701"/>
      <c r="K103" s="701"/>
      <c r="L103" s="701"/>
      <c r="M103" s="701"/>
      <c r="N103" s="701"/>
      <c r="O103" s="701"/>
      <c r="P103" s="723"/>
      <c r="Q103" s="702"/>
    </row>
    <row r="104" spans="1:17" ht="14.4" customHeight="1" x14ac:dyDescent="0.3">
      <c r="A104" s="696" t="s">
        <v>505</v>
      </c>
      <c r="B104" s="697" t="s">
        <v>2718</v>
      </c>
      <c r="C104" s="697" t="s">
        <v>2708</v>
      </c>
      <c r="D104" s="697" t="s">
        <v>2887</v>
      </c>
      <c r="E104" s="697" t="s">
        <v>2888</v>
      </c>
      <c r="F104" s="701">
        <v>16</v>
      </c>
      <c r="G104" s="701">
        <v>0</v>
      </c>
      <c r="H104" s="701"/>
      <c r="I104" s="701">
        <v>0</v>
      </c>
      <c r="J104" s="701">
        <v>9</v>
      </c>
      <c r="K104" s="701">
        <v>0</v>
      </c>
      <c r="L104" s="701"/>
      <c r="M104" s="701">
        <v>0</v>
      </c>
      <c r="N104" s="701"/>
      <c r="O104" s="701"/>
      <c r="P104" s="723"/>
      <c r="Q104" s="702"/>
    </row>
    <row r="105" spans="1:17" ht="14.4" customHeight="1" x14ac:dyDescent="0.3">
      <c r="A105" s="696" t="s">
        <v>505</v>
      </c>
      <c r="B105" s="697" t="s">
        <v>2718</v>
      </c>
      <c r="C105" s="697" t="s">
        <v>2708</v>
      </c>
      <c r="D105" s="697" t="s">
        <v>2887</v>
      </c>
      <c r="E105" s="697" t="s">
        <v>2889</v>
      </c>
      <c r="F105" s="701">
        <v>9</v>
      </c>
      <c r="G105" s="701">
        <v>0</v>
      </c>
      <c r="H105" s="701"/>
      <c r="I105" s="701">
        <v>0</v>
      </c>
      <c r="J105" s="701">
        <v>9</v>
      </c>
      <c r="K105" s="701">
        <v>0</v>
      </c>
      <c r="L105" s="701"/>
      <c r="M105" s="701">
        <v>0</v>
      </c>
      <c r="N105" s="701">
        <v>3</v>
      </c>
      <c r="O105" s="701">
        <v>0</v>
      </c>
      <c r="P105" s="723"/>
      <c r="Q105" s="702">
        <v>0</v>
      </c>
    </row>
    <row r="106" spans="1:17" ht="14.4" customHeight="1" x14ac:dyDescent="0.3">
      <c r="A106" s="696" t="s">
        <v>505</v>
      </c>
      <c r="B106" s="697" t="s">
        <v>2718</v>
      </c>
      <c r="C106" s="697" t="s">
        <v>2708</v>
      </c>
      <c r="D106" s="697" t="s">
        <v>2890</v>
      </c>
      <c r="E106" s="697" t="s">
        <v>2891</v>
      </c>
      <c r="F106" s="701"/>
      <c r="G106" s="701"/>
      <c r="H106" s="701"/>
      <c r="I106" s="701"/>
      <c r="J106" s="701">
        <v>1</v>
      </c>
      <c r="K106" s="701">
        <v>0</v>
      </c>
      <c r="L106" s="701"/>
      <c r="M106" s="701">
        <v>0</v>
      </c>
      <c r="N106" s="701"/>
      <c r="O106" s="701"/>
      <c r="P106" s="723"/>
      <c r="Q106" s="702"/>
    </row>
    <row r="107" spans="1:17" ht="14.4" customHeight="1" x14ac:dyDescent="0.3">
      <c r="A107" s="696" t="s">
        <v>505</v>
      </c>
      <c r="B107" s="697" t="s">
        <v>2718</v>
      </c>
      <c r="C107" s="697" t="s">
        <v>2708</v>
      </c>
      <c r="D107" s="697" t="s">
        <v>2892</v>
      </c>
      <c r="E107" s="697" t="s">
        <v>2893</v>
      </c>
      <c r="F107" s="701">
        <v>2</v>
      </c>
      <c r="G107" s="701">
        <v>12600</v>
      </c>
      <c r="H107" s="701">
        <v>1.9984139571768438</v>
      </c>
      <c r="I107" s="701">
        <v>6300</v>
      </c>
      <c r="J107" s="701">
        <v>1</v>
      </c>
      <c r="K107" s="701">
        <v>6305</v>
      </c>
      <c r="L107" s="701">
        <v>1</v>
      </c>
      <c r="M107" s="701">
        <v>6305</v>
      </c>
      <c r="N107" s="701">
        <v>1</v>
      </c>
      <c r="O107" s="701">
        <v>6317</v>
      </c>
      <c r="P107" s="723">
        <v>1.0019032513877875</v>
      </c>
      <c r="Q107" s="702">
        <v>6317</v>
      </c>
    </row>
    <row r="108" spans="1:17" ht="14.4" customHeight="1" x14ac:dyDescent="0.3">
      <c r="A108" s="696" t="s">
        <v>505</v>
      </c>
      <c r="B108" s="697" t="s">
        <v>2718</v>
      </c>
      <c r="C108" s="697" t="s">
        <v>2708</v>
      </c>
      <c r="D108" s="697" t="s">
        <v>2894</v>
      </c>
      <c r="E108" s="697" t="s">
        <v>2895</v>
      </c>
      <c r="F108" s="701">
        <v>3</v>
      </c>
      <c r="G108" s="701">
        <v>13710</v>
      </c>
      <c r="H108" s="701">
        <v>0.74963092569303957</v>
      </c>
      <c r="I108" s="701">
        <v>4570</v>
      </c>
      <c r="J108" s="701">
        <v>4</v>
      </c>
      <c r="K108" s="701">
        <v>18289</v>
      </c>
      <c r="L108" s="701">
        <v>1</v>
      </c>
      <c r="M108" s="701">
        <v>4572.25</v>
      </c>
      <c r="N108" s="701"/>
      <c r="O108" s="701"/>
      <c r="P108" s="723"/>
      <c r="Q108" s="702"/>
    </row>
    <row r="109" spans="1:17" ht="14.4" customHeight="1" x14ac:dyDescent="0.3">
      <c r="A109" s="696" t="s">
        <v>505</v>
      </c>
      <c r="B109" s="697" t="s">
        <v>2718</v>
      </c>
      <c r="C109" s="697" t="s">
        <v>2708</v>
      </c>
      <c r="D109" s="697" t="s">
        <v>2896</v>
      </c>
      <c r="E109" s="697" t="s">
        <v>2897</v>
      </c>
      <c r="F109" s="701">
        <v>1</v>
      </c>
      <c r="G109" s="701">
        <v>0</v>
      </c>
      <c r="H109" s="701"/>
      <c r="I109" s="701">
        <v>0</v>
      </c>
      <c r="J109" s="701">
        <v>5</v>
      </c>
      <c r="K109" s="701">
        <v>0</v>
      </c>
      <c r="L109" s="701"/>
      <c r="M109" s="701">
        <v>0</v>
      </c>
      <c r="N109" s="701"/>
      <c r="O109" s="701"/>
      <c r="P109" s="723"/>
      <c r="Q109" s="702"/>
    </row>
    <row r="110" spans="1:17" ht="14.4" customHeight="1" x14ac:dyDescent="0.3">
      <c r="A110" s="696" t="s">
        <v>505</v>
      </c>
      <c r="B110" s="697" t="s">
        <v>2718</v>
      </c>
      <c r="C110" s="697" t="s">
        <v>2708</v>
      </c>
      <c r="D110" s="697" t="s">
        <v>2898</v>
      </c>
      <c r="E110" s="697" t="s">
        <v>2899</v>
      </c>
      <c r="F110" s="701">
        <v>16</v>
      </c>
      <c r="G110" s="701">
        <v>52752</v>
      </c>
      <c r="H110" s="701">
        <v>1.1425106124924196</v>
      </c>
      <c r="I110" s="701">
        <v>3297</v>
      </c>
      <c r="J110" s="701">
        <v>14</v>
      </c>
      <c r="K110" s="701">
        <v>46172</v>
      </c>
      <c r="L110" s="701">
        <v>1</v>
      </c>
      <c r="M110" s="701">
        <v>3298</v>
      </c>
      <c r="N110" s="701">
        <v>9</v>
      </c>
      <c r="O110" s="701">
        <v>29709</v>
      </c>
      <c r="P110" s="723">
        <v>0.64344191284761332</v>
      </c>
      <c r="Q110" s="702">
        <v>3301</v>
      </c>
    </row>
    <row r="111" spans="1:17" ht="14.4" customHeight="1" x14ac:dyDescent="0.3">
      <c r="A111" s="696" t="s">
        <v>505</v>
      </c>
      <c r="B111" s="697" t="s">
        <v>2718</v>
      </c>
      <c r="C111" s="697" t="s">
        <v>2708</v>
      </c>
      <c r="D111" s="697" t="s">
        <v>2900</v>
      </c>
      <c r="E111" s="697" t="s">
        <v>2901</v>
      </c>
      <c r="F111" s="701"/>
      <c r="G111" s="701"/>
      <c r="H111" s="701"/>
      <c r="I111" s="701"/>
      <c r="J111" s="701">
        <v>1</v>
      </c>
      <c r="K111" s="701">
        <v>9265</v>
      </c>
      <c r="L111" s="701">
        <v>1</v>
      </c>
      <c r="M111" s="701">
        <v>9265</v>
      </c>
      <c r="N111" s="701"/>
      <c r="O111" s="701"/>
      <c r="P111" s="723"/>
      <c r="Q111" s="702"/>
    </row>
    <row r="112" spans="1:17" ht="14.4" customHeight="1" x14ac:dyDescent="0.3">
      <c r="A112" s="696" t="s">
        <v>505</v>
      </c>
      <c r="B112" s="697" t="s">
        <v>2718</v>
      </c>
      <c r="C112" s="697" t="s">
        <v>2708</v>
      </c>
      <c r="D112" s="697" t="s">
        <v>2902</v>
      </c>
      <c r="E112" s="697" t="s">
        <v>2903</v>
      </c>
      <c r="F112" s="701"/>
      <c r="G112" s="701"/>
      <c r="H112" s="701"/>
      <c r="I112" s="701"/>
      <c r="J112" s="701">
        <v>1</v>
      </c>
      <c r="K112" s="701">
        <v>0</v>
      </c>
      <c r="L112" s="701"/>
      <c r="M112" s="701">
        <v>0</v>
      </c>
      <c r="N112" s="701"/>
      <c r="O112" s="701"/>
      <c r="P112" s="723"/>
      <c r="Q112" s="702"/>
    </row>
    <row r="113" spans="1:17" ht="14.4" customHeight="1" x14ac:dyDescent="0.3">
      <c r="A113" s="696" t="s">
        <v>505</v>
      </c>
      <c r="B113" s="697" t="s">
        <v>2718</v>
      </c>
      <c r="C113" s="697" t="s">
        <v>2708</v>
      </c>
      <c r="D113" s="697" t="s">
        <v>2904</v>
      </c>
      <c r="E113" s="697" t="s">
        <v>2905</v>
      </c>
      <c r="F113" s="701">
        <v>3</v>
      </c>
      <c r="G113" s="701">
        <v>0</v>
      </c>
      <c r="H113" s="701"/>
      <c r="I113" s="701">
        <v>0</v>
      </c>
      <c r="J113" s="701"/>
      <c r="K113" s="701"/>
      <c r="L113" s="701"/>
      <c r="M113" s="701"/>
      <c r="N113" s="701"/>
      <c r="O113" s="701"/>
      <c r="P113" s="723"/>
      <c r="Q113" s="702"/>
    </row>
    <row r="114" spans="1:17" ht="14.4" customHeight="1" x14ac:dyDescent="0.3">
      <c r="A114" s="696" t="s">
        <v>505</v>
      </c>
      <c r="B114" s="697" t="s">
        <v>2718</v>
      </c>
      <c r="C114" s="697" t="s">
        <v>2708</v>
      </c>
      <c r="D114" s="697" t="s">
        <v>2906</v>
      </c>
      <c r="E114" s="697" t="s">
        <v>2907</v>
      </c>
      <c r="F114" s="701">
        <v>13</v>
      </c>
      <c r="G114" s="701">
        <v>0</v>
      </c>
      <c r="H114" s="701"/>
      <c r="I114" s="701">
        <v>0</v>
      </c>
      <c r="J114" s="701">
        <v>3</v>
      </c>
      <c r="K114" s="701">
        <v>0</v>
      </c>
      <c r="L114" s="701"/>
      <c r="M114" s="701">
        <v>0</v>
      </c>
      <c r="N114" s="701">
        <v>2</v>
      </c>
      <c r="O114" s="701">
        <v>0</v>
      </c>
      <c r="P114" s="723"/>
      <c r="Q114" s="702">
        <v>0</v>
      </c>
    </row>
    <row r="115" spans="1:17" ht="14.4" customHeight="1" x14ac:dyDescent="0.3">
      <c r="A115" s="696" t="s">
        <v>505</v>
      </c>
      <c r="B115" s="697" t="s">
        <v>2718</v>
      </c>
      <c r="C115" s="697" t="s">
        <v>2708</v>
      </c>
      <c r="D115" s="697" t="s">
        <v>2906</v>
      </c>
      <c r="E115" s="697" t="s">
        <v>2908</v>
      </c>
      <c r="F115" s="701"/>
      <c r="G115" s="701"/>
      <c r="H115" s="701"/>
      <c r="I115" s="701"/>
      <c r="J115" s="701">
        <v>6</v>
      </c>
      <c r="K115" s="701">
        <v>0</v>
      </c>
      <c r="L115" s="701"/>
      <c r="M115" s="701">
        <v>0</v>
      </c>
      <c r="N115" s="701"/>
      <c r="O115" s="701"/>
      <c r="P115" s="723"/>
      <c r="Q115" s="702"/>
    </row>
    <row r="116" spans="1:17" ht="14.4" customHeight="1" x14ac:dyDescent="0.3">
      <c r="A116" s="696" t="s">
        <v>505</v>
      </c>
      <c r="B116" s="697" t="s">
        <v>2718</v>
      </c>
      <c r="C116" s="697" t="s">
        <v>2708</v>
      </c>
      <c r="D116" s="697" t="s">
        <v>2909</v>
      </c>
      <c r="E116" s="697" t="s">
        <v>2910</v>
      </c>
      <c r="F116" s="701">
        <v>3</v>
      </c>
      <c r="G116" s="701">
        <v>0</v>
      </c>
      <c r="H116" s="701"/>
      <c r="I116" s="701">
        <v>0</v>
      </c>
      <c r="J116" s="701">
        <v>1</v>
      </c>
      <c r="K116" s="701">
        <v>0</v>
      </c>
      <c r="L116" s="701"/>
      <c r="M116" s="701">
        <v>0</v>
      </c>
      <c r="N116" s="701"/>
      <c r="O116" s="701"/>
      <c r="P116" s="723"/>
      <c r="Q116" s="702"/>
    </row>
    <row r="117" spans="1:17" ht="14.4" customHeight="1" x14ac:dyDescent="0.3">
      <c r="A117" s="696" t="s">
        <v>505</v>
      </c>
      <c r="B117" s="697" t="s">
        <v>2718</v>
      </c>
      <c r="C117" s="697" t="s">
        <v>2708</v>
      </c>
      <c r="D117" s="697" t="s">
        <v>2909</v>
      </c>
      <c r="E117" s="697" t="s">
        <v>2911</v>
      </c>
      <c r="F117" s="701"/>
      <c r="G117" s="701"/>
      <c r="H117" s="701"/>
      <c r="I117" s="701"/>
      <c r="J117" s="701">
        <v>1</v>
      </c>
      <c r="K117" s="701">
        <v>0</v>
      </c>
      <c r="L117" s="701"/>
      <c r="M117" s="701">
        <v>0</v>
      </c>
      <c r="N117" s="701"/>
      <c r="O117" s="701"/>
      <c r="P117" s="723"/>
      <c r="Q117" s="702"/>
    </row>
    <row r="118" spans="1:17" ht="14.4" customHeight="1" x14ac:dyDescent="0.3">
      <c r="A118" s="696" t="s">
        <v>505</v>
      </c>
      <c r="B118" s="697" t="s">
        <v>2718</v>
      </c>
      <c r="C118" s="697" t="s">
        <v>2708</v>
      </c>
      <c r="D118" s="697" t="s">
        <v>2912</v>
      </c>
      <c r="E118" s="697" t="s">
        <v>2913</v>
      </c>
      <c r="F118" s="701">
        <v>1</v>
      </c>
      <c r="G118" s="701">
        <v>5432</v>
      </c>
      <c r="H118" s="701"/>
      <c r="I118" s="701">
        <v>5432</v>
      </c>
      <c r="J118" s="701"/>
      <c r="K118" s="701"/>
      <c r="L118" s="701"/>
      <c r="M118" s="701"/>
      <c r="N118" s="701"/>
      <c r="O118" s="701"/>
      <c r="P118" s="723"/>
      <c r="Q118" s="702"/>
    </row>
    <row r="119" spans="1:17" ht="14.4" customHeight="1" x14ac:dyDescent="0.3">
      <c r="A119" s="696" t="s">
        <v>505</v>
      </c>
      <c r="B119" s="697" t="s">
        <v>2718</v>
      </c>
      <c r="C119" s="697" t="s">
        <v>2708</v>
      </c>
      <c r="D119" s="697" t="s">
        <v>2914</v>
      </c>
      <c r="E119" s="697" t="s">
        <v>2915</v>
      </c>
      <c r="F119" s="701">
        <v>1</v>
      </c>
      <c r="G119" s="701">
        <v>2537</v>
      </c>
      <c r="H119" s="701"/>
      <c r="I119" s="701">
        <v>2537</v>
      </c>
      <c r="J119" s="701"/>
      <c r="K119" s="701"/>
      <c r="L119" s="701"/>
      <c r="M119" s="701"/>
      <c r="N119" s="701"/>
      <c r="O119" s="701"/>
      <c r="P119" s="723"/>
      <c r="Q119" s="702"/>
    </row>
    <row r="120" spans="1:17" ht="14.4" customHeight="1" x14ac:dyDescent="0.3">
      <c r="A120" s="696" t="s">
        <v>505</v>
      </c>
      <c r="B120" s="697" t="s">
        <v>2718</v>
      </c>
      <c r="C120" s="697" t="s">
        <v>2708</v>
      </c>
      <c r="D120" s="697" t="s">
        <v>2916</v>
      </c>
      <c r="E120" s="697" t="s">
        <v>2917</v>
      </c>
      <c r="F120" s="701">
        <v>2</v>
      </c>
      <c r="G120" s="701">
        <v>16864</v>
      </c>
      <c r="H120" s="701"/>
      <c r="I120" s="701">
        <v>8432</v>
      </c>
      <c r="J120" s="701"/>
      <c r="K120" s="701"/>
      <c r="L120" s="701"/>
      <c r="M120" s="701"/>
      <c r="N120" s="701"/>
      <c r="O120" s="701"/>
      <c r="P120" s="723"/>
      <c r="Q120" s="702"/>
    </row>
    <row r="121" spans="1:17" ht="14.4" customHeight="1" x14ac:dyDescent="0.3">
      <c r="A121" s="696" t="s">
        <v>505</v>
      </c>
      <c r="B121" s="697" t="s">
        <v>2718</v>
      </c>
      <c r="C121" s="697" t="s">
        <v>2708</v>
      </c>
      <c r="D121" s="697" t="s">
        <v>2916</v>
      </c>
      <c r="E121" s="697" t="s">
        <v>2918</v>
      </c>
      <c r="F121" s="701">
        <v>1</v>
      </c>
      <c r="G121" s="701">
        <v>8432</v>
      </c>
      <c r="H121" s="701"/>
      <c r="I121" s="701">
        <v>8432</v>
      </c>
      <c r="J121" s="701"/>
      <c r="K121" s="701"/>
      <c r="L121" s="701"/>
      <c r="M121" s="701"/>
      <c r="N121" s="701"/>
      <c r="O121" s="701"/>
      <c r="P121" s="723"/>
      <c r="Q121" s="702"/>
    </row>
    <row r="122" spans="1:17" ht="14.4" customHeight="1" x14ac:dyDescent="0.3">
      <c r="A122" s="696" t="s">
        <v>505</v>
      </c>
      <c r="B122" s="697" t="s">
        <v>2718</v>
      </c>
      <c r="C122" s="697" t="s">
        <v>2708</v>
      </c>
      <c r="D122" s="697" t="s">
        <v>2919</v>
      </c>
      <c r="E122" s="697" t="s">
        <v>2920</v>
      </c>
      <c r="F122" s="701">
        <v>2</v>
      </c>
      <c r="G122" s="701">
        <v>0</v>
      </c>
      <c r="H122" s="701"/>
      <c r="I122" s="701">
        <v>0</v>
      </c>
      <c r="J122" s="701">
        <v>1</v>
      </c>
      <c r="K122" s="701">
        <v>0</v>
      </c>
      <c r="L122" s="701"/>
      <c r="M122" s="701">
        <v>0</v>
      </c>
      <c r="N122" s="701"/>
      <c r="O122" s="701"/>
      <c r="P122" s="723"/>
      <c r="Q122" s="702"/>
    </row>
    <row r="123" spans="1:17" ht="14.4" customHeight="1" x14ac:dyDescent="0.3">
      <c r="A123" s="696" t="s">
        <v>505</v>
      </c>
      <c r="B123" s="697" t="s">
        <v>2718</v>
      </c>
      <c r="C123" s="697" t="s">
        <v>2708</v>
      </c>
      <c r="D123" s="697" t="s">
        <v>2921</v>
      </c>
      <c r="E123" s="697" t="s">
        <v>2922</v>
      </c>
      <c r="F123" s="701"/>
      <c r="G123" s="701"/>
      <c r="H123" s="701"/>
      <c r="I123" s="701"/>
      <c r="J123" s="701"/>
      <c r="K123" s="701"/>
      <c r="L123" s="701"/>
      <c r="M123" s="701"/>
      <c r="N123" s="701">
        <v>2</v>
      </c>
      <c r="O123" s="701">
        <v>11510</v>
      </c>
      <c r="P123" s="723"/>
      <c r="Q123" s="702">
        <v>5755</v>
      </c>
    </row>
    <row r="124" spans="1:17" ht="14.4" customHeight="1" x14ac:dyDescent="0.3">
      <c r="A124" s="696" t="s">
        <v>505</v>
      </c>
      <c r="B124" s="697" t="s">
        <v>2718</v>
      </c>
      <c r="C124" s="697" t="s">
        <v>2708</v>
      </c>
      <c r="D124" s="697" t="s">
        <v>2923</v>
      </c>
      <c r="E124" s="697" t="s">
        <v>2924</v>
      </c>
      <c r="F124" s="701"/>
      <c r="G124" s="701"/>
      <c r="H124" s="701"/>
      <c r="I124" s="701"/>
      <c r="J124" s="701">
        <v>2</v>
      </c>
      <c r="K124" s="701">
        <v>7362</v>
      </c>
      <c r="L124" s="701">
        <v>1</v>
      </c>
      <c r="M124" s="701">
        <v>3681</v>
      </c>
      <c r="N124" s="701"/>
      <c r="O124" s="701"/>
      <c r="P124" s="723"/>
      <c r="Q124" s="702"/>
    </row>
    <row r="125" spans="1:17" ht="14.4" customHeight="1" x14ac:dyDescent="0.3">
      <c r="A125" s="696" t="s">
        <v>505</v>
      </c>
      <c r="B125" s="697" t="s">
        <v>2718</v>
      </c>
      <c r="C125" s="697" t="s">
        <v>2708</v>
      </c>
      <c r="D125" s="697" t="s">
        <v>2925</v>
      </c>
      <c r="E125" s="697" t="s">
        <v>2926</v>
      </c>
      <c r="F125" s="701">
        <v>9</v>
      </c>
      <c r="G125" s="701">
        <v>42552</v>
      </c>
      <c r="H125" s="701">
        <v>0.99915469146238378</v>
      </c>
      <c r="I125" s="701">
        <v>4728</v>
      </c>
      <c r="J125" s="701">
        <v>9</v>
      </c>
      <c r="K125" s="701">
        <v>42588</v>
      </c>
      <c r="L125" s="701">
        <v>1</v>
      </c>
      <c r="M125" s="701">
        <v>4732</v>
      </c>
      <c r="N125" s="701"/>
      <c r="O125" s="701"/>
      <c r="P125" s="723"/>
      <c r="Q125" s="702"/>
    </row>
    <row r="126" spans="1:17" ht="14.4" customHeight="1" x14ac:dyDescent="0.3">
      <c r="A126" s="696" t="s">
        <v>505</v>
      </c>
      <c r="B126" s="697" t="s">
        <v>2718</v>
      </c>
      <c r="C126" s="697" t="s">
        <v>2708</v>
      </c>
      <c r="D126" s="697" t="s">
        <v>2925</v>
      </c>
      <c r="E126" s="697" t="s">
        <v>2927</v>
      </c>
      <c r="F126" s="701">
        <v>6</v>
      </c>
      <c r="G126" s="701">
        <v>28368</v>
      </c>
      <c r="H126" s="701">
        <v>1.4987320371935757</v>
      </c>
      <c r="I126" s="701">
        <v>4728</v>
      </c>
      <c r="J126" s="701">
        <v>4</v>
      </c>
      <c r="K126" s="701">
        <v>18928</v>
      </c>
      <c r="L126" s="701">
        <v>1</v>
      </c>
      <c r="M126" s="701">
        <v>4732</v>
      </c>
      <c r="N126" s="701">
        <v>1</v>
      </c>
      <c r="O126" s="701">
        <v>4741</v>
      </c>
      <c r="P126" s="723">
        <v>0.2504754860524091</v>
      </c>
      <c r="Q126" s="702">
        <v>4741</v>
      </c>
    </row>
    <row r="127" spans="1:17" ht="14.4" customHeight="1" x14ac:dyDescent="0.3">
      <c r="A127" s="696" t="s">
        <v>505</v>
      </c>
      <c r="B127" s="697" t="s">
        <v>2718</v>
      </c>
      <c r="C127" s="697" t="s">
        <v>2708</v>
      </c>
      <c r="D127" s="697" t="s">
        <v>2928</v>
      </c>
      <c r="E127" s="697" t="s">
        <v>2929</v>
      </c>
      <c r="F127" s="701">
        <v>3</v>
      </c>
      <c r="G127" s="701">
        <v>13998</v>
      </c>
      <c r="H127" s="701">
        <v>2.9993571887722306</v>
      </c>
      <c r="I127" s="701">
        <v>4666</v>
      </c>
      <c r="J127" s="701">
        <v>1</v>
      </c>
      <c r="K127" s="701">
        <v>4667</v>
      </c>
      <c r="L127" s="701">
        <v>1</v>
      </c>
      <c r="M127" s="701">
        <v>4667</v>
      </c>
      <c r="N127" s="701">
        <v>2</v>
      </c>
      <c r="O127" s="701">
        <v>9344</v>
      </c>
      <c r="P127" s="723">
        <v>2.0021427040925648</v>
      </c>
      <c r="Q127" s="702">
        <v>4672</v>
      </c>
    </row>
    <row r="128" spans="1:17" ht="14.4" customHeight="1" x14ac:dyDescent="0.3">
      <c r="A128" s="696" t="s">
        <v>505</v>
      </c>
      <c r="B128" s="697" t="s">
        <v>2718</v>
      </c>
      <c r="C128" s="697" t="s">
        <v>2708</v>
      </c>
      <c r="D128" s="697" t="s">
        <v>2930</v>
      </c>
      <c r="E128" s="697" t="s">
        <v>2931</v>
      </c>
      <c r="F128" s="701"/>
      <c r="G128" s="701"/>
      <c r="H128" s="701"/>
      <c r="I128" s="701"/>
      <c r="J128" s="701"/>
      <c r="K128" s="701"/>
      <c r="L128" s="701"/>
      <c r="M128" s="701"/>
      <c r="N128" s="701">
        <v>1</v>
      </c>
      <c r="O128" s="701">
        <v>2427</v>
      </c>
      <c r="P128" s="723"/>
      <c r="Q128" s="702">
        <v>2427</v>
      </c>
    </row>
    <row r="129" spans="1:17" ht="14.4" customHeight="1" x14ac:dyDescent="0.3">
      <c r="A129" s="696" t="s">
        <v>505</v>
      </c>
      <c r="B129" s="697" t="s">
        <v>2718</v>
      </c>
      <c r="C129" s="697" t="s">
        <v>2708</v>
      </c>
      <c r="D129" s="697" t="s">
        <v>2932</v>
      </c>
      <c r="E129" s="697" t="s">
        <v>2933</v>
      </c>
      <c r="F129" s="701">
        <v>2</v>
      </c>
      <c r="G129" s="701">
        <v>0</v>
      </c>
      <c r="H129" s="701"/>
      <c r="I129" s="701">
        <v>0</v>
      </c>
      <c r="J129" s="701"/>
      <c r="K129" s="701"/>
      <c r="L129" s="701"/>
      <c r="M129" s="701"/>
      <c r="N129" s="701"/>
      <c r="O129" s="701"/>
      <c r="P129" s="723"/>
      <c r="Q129" s="702"/>
    </row>
    <row r="130" spans="1:17" ht="14.4" customHeight="1" x14ac:dyDescent="0.3">
      <c r="A130" s="696" t="s">
        <v>505</v>
      </c>
      <c r="B130" s="697" t="s">
        <v>2718</v>
      </c>
      <c r="C130" s="697" t="s">
        <v>2708</v>
      </c>
      <c r="D130" s="697" t="s">
        <v>2932</v>
      </c>
      <c r="E130" s="697" t="s">
        <v>2934</v>
      </c>
      <c r="F130" s="701">
        <v>1</v>
      </c>
      <c r="G130" s="701">
        <v>0</v>
      </c>
      <c r="H130" s="701"/>
      <c r="I130" s="701">
        <v>0</v>
      </c>
      <c r="J130" s="701"/>
      <c r="K130" s="701"/>
      <c r="L130" s="701"/>
      <c r="M130" s="701"/>
      <c r="N130" s="701"/>
      <c r="O130" s="701"/>
      <c r="P130" s="723"/>
      <c r="Q130" s="702"/>
    </row>
    <row r="131" spans="1:17" ht="14.4" customHeight="1" x14ac:dyDescent="0.3">
      <c r="A131" s="696" t="s">
        <v>505</v>
      </c>
      <c r="B131" s="697" t="s">
        <v>2718</v>
      </c>
      <c r="C131" s="697" t="s">
        <v>2708</v>
      </c>
      <c r="D131" s="697" t="s">
        <v>2935</v>
      </c>
      <c r="E131" s="697" t="s">
        <v>2936</v>
      </c>
      <c r="F131" s="701">
        <v>4</v>
      </c>
      <c r="G131" s="701">
        <v>21128</v>
      </c>
      <c r="H131" s="701">
        <v>0.79969719909159731</v>
      </c>
      <c r="I131" s="701">
        <v>5282</v>
      </c>
      <c r="J131" s="701">
        <v>5</v>
      </c>
      <c r="K131" s="701">
        <v>26420</v>
      </c>
      <c r="L131" s="701">
        <v>1</v>
      </c>
      <c r="M131" s="701">
        <v>5284</v>
      </c>
      <c r="N131" s="701">
        <v>1</v>
      </c>
      <c r="O131" s="701">
        <v>5290</v>
      </c>
      <c r="P131" s="723">
        <v>0.20022710068130203</v>
      </c>
      <c r="Q131" s="702">
        <v>5290</v>
      </c>
    </row>
    <row r="132" spans="1:17" ht="14.4" customHeight="1" x14ac:dyDescent="0.3">
      <c r="A132" s="696" t="s">
        <v>505</v>
      </c>
      <c r="B132" s="697" t="s">
        <v>2718</v>
      </c>
      <c r="C132" s="697" t="s">
        <v>2708</v>
      </c>
      <c r="D132" s="697" t="s">
        <v>2937</v>
      </c>
      <c r="E132" s="697" t="s">
        <v>2938</v>
      </c>
      <c r="F132" s="701"/>
      <c r="G132" s="701"/>
      <c r="H132" s="701"/>
      <c r="I132" s="701"/>
      <c r="J132" s="701">
        <v>2</v>
      </c>
      <c r="K132" s="701">
        <v>0</v>
      </c>
      <c r="L132" s="701"/>
      <c r="M132" s="701">
        <v>0</v>
      </c>
      <c r="N132" s="701"/>
      <c r="O132" s="701"/>
      <c r="P132" s="723"/>
      <c r="Q132" s="702"/>
    </row>
    <row r="133" spans="1:17" ht="14.4" customHeight="1" x14ac:dyDescent="0.3">
      <c r="A133" s="696" t="s">
        <v>505</v>
      </c>
      <c r="B133" s="697" t="s">
        <v>2718</v>
      </c>
      <c r="C133" s="697" t="s">
        <v>2708</v>
      </c>
      <c r="D133" s="697" t="s">
        <v>2939</v>
      </c>
      <c r="E133" s="697" t="s">
        <v>2940</v>
      </c>
      <c r="F133" s="701"/>
      <c r="G133" s="701"/>
      <c r="H133" s="701"/>
      <c r="I133" s="701"/>
      <c r="J133" s="701"/>
      <c r="K133" s="701"/>
      <c r="L133" s="701"/>
      <c r="M133" s="701"/>
      <c r="N133" s="701">
        <v>1</v>
      </c>
      <c r="O133" s="701">
        <v>8761</v>
      </c>
      <c r="P133" s="723"/>
      <c r="Q133" s="702">
        <v>8761</v>
      </c>
    </row>
    <row r="134" spans="1:17" ht="14.4" customHeight="1" x14ac:dyDescent="0.3">
      <c r="A134" s="696" t="s">
        <v>505</v>
      </c>
      <c r="B134" s="697" t="s">
        <v>2718</v>
      </c>
      <c r="C134" s="697" t="s">
        <v>2708</v>
      </c>
      <c r="D134" s="697" t="s">
        <v>2941</v>
      </c>
      <c r="E134" s="697" t="s">
        <v>2942</v>
      </c>
      <c r="F134" s="701">
        <v>1</v>
      </c>
      <c r="G134" s="701">
        <v>1200</v>
      </c>
      <c r="H134" s="701"/>
      <c r="I134" s="701">
        <v>1200</v>
      </c>
      <c r="J134" s="701"/>
      <c r="K134" s="701"/>
      <c r="L134" s="701"/>
      <c r="M134" s="701"/>
      <c r="N134" s="701"/>
      <c r="O134" s="701"/>
      <c r="P134" s="723"/>
      <c r="Q134" s="702"/>
    </row>
    <row r="135" spans="1:17" ht="14.4" customHeight="1" x14ac:dyDescent="0.3">
      <c r="A135" s="696" t="s">
        <v>505</v>
      </c>
      <c r="B135" s="697" t="s">
        <v>2718</v>
      </c>
      <c r="C135" s="697" t="s">
        <v>2708</v>
      </c>
      <c r="D135" s="697" t="s">
        <v>2943</v>
      </c>
      <c r="E135" s="697" t="s">
        <v>2944</v>
      </c>
      <c r="F135" s="701"/>
      <c r="G135" s="701"/>
      <c r="H135" s="701"/>
      <c r="I135" s="701"/>
      <c r="J135" s="701">
        <v>1</v>
      </c>
      <c r="K135" s="701">
        <v>11010</v>
      </c>
      <c r="L135" s="701">
        <v>1</v>
      </c>
      <c r="M135" s="701">
        <v>11010</v>
      </c>
      <c r="N135" s="701"/>
      <c r="O135" s="701"/>
      <c r="P135" s="723"/>
      <c r="Q135" s="702"/>
    </row>
    <row r="136" spans="1:17" ht="14.4" customHeight="1" x14ac:dyDescent="0.3">
      <c r="A136" s="696" t="s">
        <v>505</v>
      </c>
      <c r="B136" s="697" t="s">
        <v>2718</v>
      </c>
      <c r="C136" s="697" t="s">
        <v>2708</v>
      </c>
      <c r="D136" s="697" t="s">
        <v>2943</v>
      </c>
      <c r="E136" s="697" t="s">
        <v>2945</v>
      </c>
      <c r="F136" s="701">
        <v>2</v>
      </c>
      <c r="G136" s="701">
        <v>22008</v>
      </c>
      <c r="H136" s="701"/>
      <c r="I136" s="701">
        <v>11004</v>
      </c>
      <c r="J136" s="701"/>
      <c r="K136" s="701"/>
      <c r="L136" s="701"/>
      <c r="M136" s="701"/>
      <c r="N136" s="701"/>
      <c r="O136" s="701"/>
      <c r="P136" s="723"/>
      <c r="Q136" s="702"/>
    </row>
    <row r="137" spans="1:17" ht="14.4" customHeight="1" x14ac:dyDescent="0.3">
      <c r="A137" s="696" t="s">
        <v>505</v>
      </c>
      <c r="B137" s="697" t="s">
        <v>2718</v>
      </c>
      <c r="C137" s="697" t="s">
        <v>2708</v>
      </c>
      <c r="D137" s="697" t="s">
        <v>2946</v>
      </c>
      <c r="E137" s="697" t="s">
        <v>2947</v>
      </c>
      <c r="F137" s="701"/>
      <c r="G137" s="701"/>
      <c r="H137" s="701"/>
      <c r="I137" s="701"/>
      <c r="J137" s="701">
        <v>1</v>
      </c>
      <c r="K137" s="701">
        <v>21848</v>
      </c>
      <c r="L137" s="701">
        <v>1</v>
      </c>
      <c r="M137" s="701">
        <v>21848</v>
      </c>
      <c r="N137" s="701"/>
      <c r="O137" s="701"/>
      <c r="P137" s="723"/>
      <c r="Q137" s="702"/>
    </row>
    <row r="138" spans="1:17" ht="14.4" customHeight="1" x14ac:dyDescent="0.3">
      <c r="A138" s="696" t="s">
        <v>505</v>
      </c>
      <c r="B138" s="697" t="s">
        <v>2718</v>
      </c>
      <c r="C138" s="697" t="s">
        <v>2708</v>
      </c>
      <c r="D138" s="697" t="s">
        <v>2948</v>
      </c>
      <c r="E138" s="697" t="s">
        <v>2949</v>
      </c>
      <c r="F138" s="701">
        <v>3</v>
      </c>
      <c r="G138" s="701">
        <v>12342</v>
      </c>
      <c r="H138" s="701"/>
      <c r="I138" s="701">
        <v>4114</v>
      </c>
      <c r="J138" s="701"/>
      <c r="K138" s="701"/>
      <c r="L138" s="701"/>
      <c r="M138" s="701"/>
      <c r="N138" s="701">
        <v>2</v>
      </c>
      <c r="O138" s="701">
        <v>8240</v>
      </c>
      <c r="P138" s="723"/>
      <c r="Q138" s="702">
        <v>4120</v>
      </c>
    </row>
    <row r="139" spans="1:17" ht="14.4" customHeight="1" x14ac:dyDescent="0.3">
      <c r="A139" s="696" t="s">
        <v>505</v>
      </c>
      <c r="B139" s="697" t="s">
        <v>2718</v>
      </c>
      <c r="C139" s="697" t="s">
        <v>2708</v>
      </c>
      <c r="D139" s="697" t="s">
        <v>2950</v>
      </c>
      <c r="E139" s="697" t="s">
        <v>2951</v>
      </c>
      <c r="F139" s="701">
        <v>3</v>
      </c>
      <c r="G139" s="701">
        <v>0</v>
      </c>
      <c r="H139" s="701"/>
      <c r="I139" s="701">
        <v>0</v>
      </c>
      <c r="J139" s="701">
        <v>1</v>
      </c>
      <c r="K139" s="701">
        <v>0</v>
      </c>
      <c r="L139" s="701"/>
      <c r="M139" s="701">
        <v>0</v>
      </c>
      <c r="N139" s="701"/>
      <c r="O139" s="701"/>
      <c r="P139" s="723"/>
      <c r="Q139" s="702"/>
    </row>
    <row r="140" spans="1:17" ht="14.4" customHeight="1" x14ac:dyDescent="0.3">
      <c r="A140" s="696" t="s">
        <v>505</v>
      </c>
      <c r="B140" s="697" t="s">
        <v>2718</v>
      </c>
      <c r="C140" s="697" t="s">
        <v>2708</v>
      </c>
      <c r="D140" s="697" t="s">
        <v>2952</v>
      </c>
      <c r="E140" s="697" t="s">
        <v>2953</v>
      </c>
      <c r="F140" s="701">
        <v>2</v>
      </c>
      <c r="G140" s="701">
        <v>12404</v>
      </c>
      <c r="H140" s="701">
        <v>1.9987109249113761</v>
      </c>
      <c r="I140" s="701">
        <v>6202</v>
      </c>
      <c r="J140" s="701">
        <v>1</v>
      </c>
      <c r="K140" s="701">
        <v>6206</v>
      </c>
      <c r="L140" s="701">
        <v>1</v>
      </c>
      <c r="M140" s="701">
        <v>6206</v>
      </c>
      <c r="N140" s="701">
        <v>1</v>
      </c>
      <c r="O140" s="701">
        <v>6215</v>
      </c>
      <c r="P140" s="723">
        <v>1.001450209474702</v>
      </c>
      <c r="Q140" s="702">
        <v>6215</v>
      </c>
    </row>
    <row r="141" spans="1:17" ht="14.4" customHeight="1" x14ac:dyDescent="0.3">
      <c r="A141" s="696" t="s">
        <v>505</v>
      </c>
      <c r="B141" s="697" t="s">
        <v>2718</v>
      </c>
      <c r="C141" s="697" t="s">
        <v>2708</v>
      </c>
      <c r="D141" s="697" t="s">
        <v>2954</v>
      </c>
      <c r="E141" s="697" t="s">
        <v>2955</v>
      </c>
      <c r="F141" s="701">
        <v>1</v>
      </c>
      <c r="G141" s="701">
        <v>1966</v>
      </c>
      <c r="H141" s="701"/>
      <c r="I141" s="701">
        <v>1966</v>
      </c>
      <c r="J141" s="701"/>
      <c r="K141" s="701"/>
      <c r="L141" s="701"/>
      <c r="M141" s="701"/>
      <c r="N141" s="701">
        <v>1</v>
      </c>
      <c r="O141" s="701">
        <v>1970</v>
      </c>
      <c r="P141" s="723"/>
      <c r="Q141" s="702">
        <v>1970</v>
      </c>
    </row>
    <row r="142" spans="1:17" ht="14.4" customHeight="1" x14ac:dyDescent="0.3">
      <c r="A142" s="696" t="s">
        <v>505</v>
      </c>
      <c r="B142" s="697" t="s">
        <v>2718</v>
      </c>
      <c r="C142" s="697" t="s">
        <v>2708</v>
      </c>
      <c r="D142" s="697" t="s">
        <v>2956</v>
      </c>
      <c r="E142" s="697" t="s">
        <v>2957</v>
      </c>
      <c r="F142" s="701">
        <v>1</v>
      </c>
      <c r="G142" s="701">
        <v>0</v>
      </c>
      <c r="H142" s="701"/>
      <c r="I142" s="701">
        <v>0</v>
      </c>
      <c r="J142" s="701"/>
      <c r="K142" s="701"/>
      <c r="L142" s="701"/>
      <c r="M142" s="701"/>
      <c r="N142" s="701"/>
      <c r="O142" s="701"/>
      <c r="P142" s="723"/>
      <c r="Q142" s="702"/>
    </row>
    <row r="143" spans="1:17" ht="14.4" customHeight="1" x14ac:dyDescent="0.3">
      <c r="A143" s="696" t="s">
        <v>505</v>
      </c>
      <c r="B143" s="697" t="s">
        <v>2718</v>
      </c>
      <c r="C143" s="697" t="s">
        <v>2708</v>
      </c>
      <c r="D143" s="697" t="s">
        <v>2956</v>
      </c>
      <c r="E143" s="697" t="s">
        <v>2958</v>
      </c>
      <c r="F143" s="701"/>
      <c r="G143" s="701"/>
      <c r="H143" s="701"/>
      <c r="I143" s="701"/>
      <c r="J143" s="701">
        <v>1</v>
      </c>
      <c r="K143" s="701">
        <v>0</v>
      </c>
      <c r="L143" s="701"/>
      <c r="M143" s="701">
        <v>0</v>
      </c>
      <c r="N143" s="701"/>
      <c r="O143" s="701"/>
      <c r="P143" s="723"/>
      <c r="Q143" s="702"/>
    </row>
    <row r="144" spans="1:17" ht="14.4" customHeight="1" x14ac:dyDescent="0.3">
      <c r="A144" s="696" t="s">
        <v>505</v>
      </c>
      <c r="B144" s="697" t="s">
        <v>2718</v>
      </c>
      <c r="C144" s="697" t="s">
        <v>2708</v>
      </c>
      <c r="D144" s="697" t="s">
        <v>2959</v>
      </c>
      <c r="E144" s="697" t="s">
        <v>2960</v>
      </c>
      <c r="F144" s="701"/>
      <c r="G144" s="701"/>
      <c r="H144" s="701"/>
      <c r="I144" s="701"/>
      <c r="J144" s="701">
        <v>1</v>
      </c>
      <c r="K144" s="701">
        <v>3531</v>
      </c>
      <c r="L144" s="701">
        <v>1</v>
      </c>
      <c r="M144" s="701">
        <v>3531</v>
      </c>
      <c r="N144" s="701">
        <v>1</v>
      </c>
      <c r="O144" s="701">
        <v>3538</v>
      </c>
      <c r="P144" s="723">
        <v>1.0019824412347778</v>
      </c>
      <c r="Q144" s="702">
        <v>3538</v>
      </c>
    </row>
    <row r="145" spans="1:17" ht="14.4" customHeight="1" x14ac:dyDescent="0.3">
      <c r="A145" s="696" t="s">
        <v>505</v>
      </c>
      <c r="B145" s="697" t="s">
        <v>2718</v>
      </c>
      <c r="C145" s="697" t="s">
        <v>2708</v>
      </c>
      <c r="D145" s="697" t="s">
        <v>2961</v>
      </c>
      <c r="E145" s="697" t="s">
        <v>2962</v>
      </c>
      <c r="F145" s="701"/>
      <c r="G145" s="701"/>
      <c r="H145" s="701"/>
      <c r="I145" s="701"/>
      <c r="J145" s="701">
        <v>1</v>
      </c>
      <c r="K145" s="701">
        <v>8450</v>
      </c>
      <c r="L145" s="701">
        <v>1</v>
      </c>
      <c r="M145" s="701">
        <v>8450</v>
      </c>
      <c r="N145" s="701"/>
      <c r="O145" s="701"/>
      <c r="P145" s="723"/>
      <c r="Q145" s="702"/>
    </row>
    <row r="146" spans="1:17" ht="14.4" customHeight="1" x14ac:dyDescent="0.3">
      <c r="A146" s="696" t="s">
        <v>505</v>
      </c>
      <c r="B146" s="697" t="s">
        <v>2718</v>
      </c>
      <c r="C146" s="697" t="s">
        <v>2708</v>
      </c>
      <c r="D146" s="697" t="s">
        <v>2963</v>
      </c>
      <c r="E146" s="697" t="s">
        <v>2964</v>
      </c>
      <c r="F146" s="701">
        <v>2</v>
      </c>
      <c r="G146" s="701">
        <v>0</v>
      </c>
      <c r="H146" s="701"/>
      <c r="I146" s="701">
        <v>0</v>
      </c>
      <c r="J146" s="701"/>
      <c r="K146" s="701"/>
      <c r="L146" s="701"/>
      <c r="M146" s="701"/>
      <c r="N146" s="701"/>
      <c r="O146" s="701"/>
      <c r="P146" s="723"/>
      <c r="Q146" s="702"/>
    </row>
    <row r="147" spans="1:17" ht="14.4" customHeight="1" x14ac:dyDescent="0.3">
      <c r="A147" s="696" t="s">
        <v>505</v>
      </c>
      <c r="B147" s="697" t="s">
        <v>2718</v>
      </c>
      <c r="C147" s="697" t="s">
        <v>2708</v>
      </c>
      <c r="D147" s="697" t="s">
        <v>2965</v>
      </c>
      <c r="E147" s="697" t="s">
        <v>2966</v>
      </c>
      <c r="F147" s="701"/>
      <c r="G147" s="701"/>
      <c r="H147" s="701"/>
      <c r="I147" s="701"/>
      <c r="J147" s="701">
        <v>1</v>
      </c>
      <c r="K147" s="701">
        <v>8593</v>
      </c>
      <c r="L147" s="701">
        <v>1</v>
      </c>
      <c r="M147" s="701">
        <v>8593</v>
      </c>
      <c r="N147" s="701"/>
      <c r="O147" s="701"/>
      <c r="P147" s="723"/>
      <c r="Q147" s="702"/>
    </row>
    <row r="148" spans="1:17" ht="14.4" customHeight="1" x14ac:dyDescent="0.3">
      <c r="A148" s="696" t="s">
        <v>505</v>
      </c>
      <c r="B148" s="697" t="s">
        <v>2718</v>
      </c>
      <c r="C148" s="697" t="s">
        <v>2708</v>
      </c>
      <c r="D148" s="697" t="s">
        <v>2967</v>
      </c>
      <c r="E148" s="697" t="s">
        <v>2968</v>
      </c>
      <c r="F148" s="701"/>
      <c r="G148" s="701"/>
      <c r="H148" s="701"/>
      <c r="I148" s="701"/>
      <c r="J148" s="701">
        <v>2</v>
      </c>
      <c r="K148" s="701">
        <v>0</v>
      </c>
      <c r="L148" s="701"/>
      <c r="M148" s="701">
        <v>0</v>
      </c>
      <c r="N148" s="701"/>
      <c r="O148" s="701"/>
      <c r="P148" s="723"/>
      <c r="Q148" s="702"/>
    </row>
    <row r="149" spans="1:17" ht="14.4" customHeight="1" x14ac:dyDescent="0.3">
      <c r="A149" s="696" t="s">
        <v>505</v>
      </c>
      <c r="B149" s="697" t="s">
        <v>2718</v>
      </c>
      <c r="C149" s="697" t="s">
        <v>2708</v>
      </c>
      <c r="D149" s="697" t="s">
        <v>2969</v>
      </c>
      <c r="E149" s="697" t="s">
        <v>2970</v>
      </c>
      <c r="F149" s="701"/>
      <c r="G149" s="701"/>
      <c r="H149" s="701"/>
      <c r="I149" s="701"/>
      <c r="J149" s="701"/>
      <c r="K149" s="701"/>
      <c r="L149" s="701"/>
      <c r="M149" s="701"/>
      <c r="N149" s="701">
        <v>1</v>
      </c>
      <c r="O149" s="701">
        <v>1806</v>
      </c>
      <c r="P149" s="723"/>
      <c r="Q149" s="702">
        <v>1806</v>
      </c>
    </row>
    <row r="150" spans="1:17" ht="14.4" customHeight="1" x14ac:dyDescent="0.3">
      <c r="A150" s="696" t="s">
        <v>505</v>
      </c>
      <c r="B150" s="697" t="s">
        <v>2718</v>
      </c>
      <c r="C150" s="697" t="s">
        <v>2708</v>
      </c>
      <c r="D150" s="697" t="s">
        <v>2971</v>
      </c>
      <c r="E150" s="697" t="s">
        <v>2972</v>
      </c>
      <c r="F150" s="701"/>
      <c r="G150" s="701"/>
      <c r="H150" s="701"/>
      <c r="I150" s="701"/>
      <c r="J150" s="701">
        <v>1</v>
      </c>
      <c r="K150" s="701">
        <v>0</v>
      </c>
      <c r="L150" s="701"/>
      <c r="M150" s="701">
        <v>0</v>
      </c>
      <c r="N150" s="701"/>
      <c r="O150" s="701"/>
      <c r="P150" s="723"/>
      <c r="Q150" s="702"/>
    </row>
    <row r="151" spans="1:17" ht="14.4" customHeight="1" x14ac:dyDescent="0.3">
      <c r="A151" s="696" t="s">
        <v>505</v>
      </c>
      <c r="B151" s="697" t="s">
        <v>2718</v>
      </c>
      <c r="C151" s="697" t="s">
        <v>2708</v>
      </c>
      <c r="D151" s="697" t="s">
        <v>2973</v>
      </c>
      <c r="E151" s="697" t="s">
        <v>2974</v>
      </c>
      <c r="F151" s="701">
        <v>1</v>
      </c>
      <c r="G151" s="701">
        <v>0</v>
      </c>
      <c r="H151" s="701"/>
      <c r="I151" s="701">
        <v>0</v>
      </c>
      <c r="J151" s="701"/>
      <c r="K151" s="701"/>
      <c r="L151" s="701"/>
      <c r="M151" s="701"/>
      <c r="N151" s="701"/>
      <c r="O151" s="701"/>
      <c r="P151" s="723"/>
      <c r="Q151" s="702"/>
    </row>
    <row r="152" spans="1:17" ht="14.4" customHeight="1" x14ac:dyDescent="0.3">
      <c r="A152" s="696" t="s">
        <v>505</v>
      </c>
      <c r="B152" s="697" t="s">
        <v>2718</v>
      </c>
      <c r="C152" s="697" t="s">
        <v>2708</v>
      </c>
      <c r="D152" s="697" t="s">
        <v>2975</v>
      </c>
      <c r="E152" s="697" t="s">
        <v>2976</v>
      </c>
      <c r="F152" s="701"/>
      <c r="G152" s="701"/>
      <c r="H152" s="701"/>
      <c r="I152" s="701"/>
      <c r="J152" s="701"/>
      <c r="K152" s="701"/>
      <c r="L152" s="701"/>
      <c r="M152" s="701"/>
      <c r="N152" s="701">
        <v>1</v>
      </c>
      <c r="O152" s="701">
        <v>0</v>
      </c>
      <c r="P152" s="723"/>
      <c r="Q152" s="702">
        <v>0</v>
      </c>
    </row>
    <row r="153" spans="1:17" ht="14.4" customHeight="1" x14ac:dyDescent="0.3">
      <c r="A153" s="696" t="s">
        <v>505</v>
      </c>
      <c r="B153" s="697" t="s">
        <v>2718</v>
      </c>
      <c r="C153" s="697" t="s">
        <v>2708</v>
      </c>
      <c r="D153" s="697" t="s">
        <v>2977</v>
      </c>
      <c r="E153" s="697" t="s">
        <v>2978</v>
      </c>
      <c r="F153" s="701">
        <v>1</v>
      </c>
      <c r="G153" s="701">
        <v>0</v>
      </c>
      <c r="H153" s="701"/>
      <c r="I153" s="701">
        <v>0</v>
      </c>
      <c r="J153" s="701"/>
      <c r="K153" s="701"/>
      <c r="L153" s="701"/>
      <c r="M153" s="701"/>
      <c r="N153" s="701"/>
      <c r="O153" s="701"/>
      <c r="P153" s="723"/>
      <c r="Q153" s="702"/>
    </row>
    <row r="154" spans="1:17" ht="14.4" customHeight="1" x14ac:dyDescent="0.3">
      <c r="A154" s="696" t="s">
        <v>505</v>
      </c>
      <c r="B154" s="697" t="s">
        <v>2718</v>
      </c>
      <c r="C154" s="697" t="s">
        <v>2708</v>
      </c>
      <c r="D154" s="697" t="s">
        <v>2979</v>
      </c>
      <c r="E154" s="697" t="s">
        <v>2980</v>
      </c>
      <c r="F154" s="701">
        <v>1</v>
      </c>
      <c r="G154" s="701">
        <v>0</v>
      </c>
      <c r="H154" s="701"/>
      <c r="I154" s="701">
        <v>0</v>
      </c>
      <c r="J154" s="701">
        <v>1</v>
      </c>
      <c r="K154" s="701">
        <v>0</v>
      </c>
      <c r="L154" s="701"/>
      <c r="M154" s="701">
        <v>0</v>
      </c>
      <c r="N154" s="701"/>
      <c r="O154" s="701"/>
      <c r="P154" s="723"/>
      <c r="Q154" s="702"/>
    </row>
    <row r="155" spans="1:17" ht="14.4" customHeight="1" x14ac:dyDescent="0.3">
      <c r="A155" s="696" t="s">
        <v>505</v>
      </c>
      <c r="B155" s="697" t="s">
        <v>2718</v>
      </c>
      <c r="C155" s="697" t="s">
        <v>2708</v>
      </c>
      <c r="D155" s="697" t="s">
        <v>2981</v>
      </c>
      <c r="E155" s="697" t="s">
        <v>2982</v>
      </c>
      <c r="F155" s="701">
        <v>1</v>
      </c>
      <c r="G155" s="701">
        <v>0</v>
      </c>
      <c r="H155" s="701"/>
      <c r="I155" s="701">
        <v>0</v>
      </c>
      <c r="J155" s="701">
        <v>1</v>
      </c>
      <c r="K155" s="701">
        <v>0</v>
      </c>
      <c r="L155" s="701"/>
      <c r="M155" s="701">
        <v>0</v>
      </c>
      <c r="N155" s="701"/>
      <c r="O155" s="701"/>
      <c r="P155" s="723"/>
      <c r="Q155" s="702"/>
    </row>
    <row r="156" spans="1:17" ht="14.4" customHeight="1" x14ac:dyDescent="0.3">
      <c r="A156" s="696" t="s">
        <v>505</v>
      </c>
      <c r="B156" s="697" t="s">
        <v>2718</v>
      </c>
      <c r="C156" s="697" t="s">
        <v>2708</v>
      </c>
      <c r="D156" s="697" t="s">
        <v>2983</v>
      </c>
      <c r="E156" s="697" t="s">
        <v>2984</v>
      </c>
      <c r="F156" s="701">
        <v>1</v>
      </c>
      <c r="G156" s="701">
        <v>0</v>
      </c>
      <c r="H156" s="701"/>
      <c r="I156" s="701">
        <v>0</v>
      </c>
      <c r="J156" s="701"/>
      <c r="K156" s="701"/>
      <c r="L156" s="701"/>
      <c r="M156" s="701"/>
      <c r="N156" s="701"/>
      <c r="O156" s="701"/>
      <c r="P156" s="723"/>
      <c r="Q156" s="702"/>
    </row>
    <row r="157" spans="1:17" ht="14.4" customHeight="1" x14ac:dyDescent="0.3">
      <c r="A157" s="696" t="s">
        <v>505</v>
      </c>
      <c r="B157" s="697" t="s">
        <v>2718</v>
      </c>
      <c r="C157" s="697" t="s">
        <v>2708</v>
      </c>
      <c r="D157" s="697" t="s">
        <v>2985</v>
      </c>
      <c r="E157" s="697" t="s">
        <v>2816</v>
      </c>
      <c r="F157" s="701">
        <v>1</v>
      </c>
      <c r="G157" s="701">
        <v>0</v>
      </c>
      <c r="H157" s="701"/>
      <c r="I157" s="701">
        <v>0</v>
      </c>
      <c r="J157" s="701"/>
      <c r="K157" s="701"/>
      <c r="L157" s="701"/>
      <c r="M157" s="701"/>
      <c r="N157" s="701"/>
      <c r="O157" s="701"/>
      <c r="P157" s="723"/>
      <c r="Q157" s="702"/>
    </row>
    <row r="158" spans="1:17" ht="14.4" customHeight="1" x14ac:dyDescent="0.3">
      <c r="A158" s="696" t="s">
        <v>505</v>
      </c>
      <c r="B158" s="697" t="s">
        <v>2718</v>
      </c>
      <c r="C158" s="697" t="s">
        <v>2708</v>
      </c>
      <c r="D158" s="697" t="s">
        <v>2986</v>
      </c>
      <c r="E158" s="697" t="s">
        <v>2987</v>
      </c>
      <c r="F158" s="701"/>
      <c r="G158" s="701"/>
      <c r="H158" s="701"/>
      <c r="I158" s="701"/>
      <c r="J158" s="701"/>
      <c r="K158" s="701"/>
      <c r="L158" s="701"/>
      <c r="M158" s="701"/>
      <c r="N158" s="701">
        <v>1</v>
      </c>
      <c r="O158" s="701">
        <v>0</v>
      </c>
      <c r="P158" s="723"/>
      <c r="Q158" s="702">
        <v>0</v>
      </c>
    </row>
    <row r="159" spans="1:17" ht="14.4" customHeight="1" x14ac:dyDescent="0.3">
      <c r="A159" s="696" t="s">
        <v>505</v>
      </c>
      <c r="B159" s="697" t="s">
        <v>2718</v>
      </c>
      <c r="C159" s="697" t="s">
        <v>2708</v>
      </c>
      <c r="D159" s="697" t="s">
        <v>2988</v>
      </c>
      <c r="E159" s="697" t="s">
        <v>2989</v>
      </c>
      <c r="F159" s="701"/>
      <c r="G159" s="701"/>
      <c r="H159" s="701"/>
      <c r="I159" s="701"/>
      <c r="J159" s="701">
        <v>1</v>
      </c>
      <c r="K159" s="701">
        <v>0</v>
      </c>
      <c r="L159" s="701"/>
      <c r="M159" s="701">
        <v>0</v>
      </c>
      <c r="N159" s="701"/>
      <c r="O159" s="701"/>
      <c r="P159" s="723"/>
      <c r="Q159" s="702"/>
    </row>
    <row r="160" spans="1:17" ht="14.4" customHeight="1" x14ac:dyDescent="0.3">
      <c r="A160" s="696" t="s">
        <v>505</v>
      </c>
      <c r="B160" s="697" t="s">
        <v>2718</v>
      </c>
      <c r="C160" s="697" t="s">
        <v>2708</v>
      </c>
      <c r="D160" s="697" t="s">
        <v>2990</v>
      </c>
      <c r="E160" s="697" t="s">
        <v>2991</v>
      </c>
      <c r="F160" s="701"/>
      <c r="G160" s="701"/>
      <c r="H160" s="701"/>
      <c r="I160" s="701"/>
      <c r="J160" s="701">
        <v>1</v>
      </c>
      <c r="K160" s="701">
        <v>0</v>
      </c>
      <c r="L160" s="701"/>
      <c r="M160" s="701">
        <v>0</v>
      </c>
      <c r="N160" s="701"/>
      <c r="O160" s="701"/>
      <c r="P160" s="723"/>
      <c r="Q160" s="702"/>
    </row>
    <row r="161" spans="1:17" ht="14.4" customHeight="1" x14ac:dyDescent="0.3">
      <c r="A161" s="696" t="s">
        <v>505</v>
      </c>
      <c r="B161" s="697" t="s">
        <v>2718</v>
      </c>
      <c r="C161" s="697" t="s">
        <v>2708</v>
      </c>
      <c r="D161" s="697" t="s">
        <v>2992</v>
      </c>
      <c r="E161" s="697" t="s">
        <v>2972</v>
      </c>
      <c r="F161" s="701"/>
      <c r="G161" s="701"/>
      <c r="H161" s="701"/>
      <c r="I161" s="701"/>
      <c r="J161" s="701">
        <v>1</v>
      </c>
      <c r="K161" s="701">
        <v>0</v>
      </c>
      <c r="L161" s="701"/>
      <c r="M161" s="701">
        <v>0</v>
      </c>
      <c r="N161" s="701"/>
      <c r="O161" s="701"/>
      <c r="P161" s="723"/>
      <c r="Q161" s="702"/>
    </row>
    <row r="162" spans="1:17" ht="14.4" customHeight="1" x14ac:dyDescent="0.3">
      <c r="A162" s="696" t="s">
        <v>505</v>
      </c>
      <c r="B162" s="697" t="s">
        <v>2718</v>
      </c>
      <c r="C162" s="697" t="s">
        <v>2708</v>
      </c>
      <c r="D162" s="697" t="s">
        <v>2993</v>
      </c>
      <c r="E162" s="697" t="s">
        <v>2994</v>
      </c>
      <c r="F162" s="701"/>
      <c r="G162" s="701"/>
      <c r="H162" s="701"/>
      <c r="I162" s="701"/>
      <c r="J162" s="701"/>
      <c r="K162" s="701"/>
      <c r="L162" s="701"/>
      <c r="M162" s="701"/>
      <c r="N162" s="701">
        <v>1</v>
      </c>
      <c r="O162" s="701">
        <v>0</v>
      </c>
      <c r="P162" s="723"/>
      <c r="Q162" s="702">
        <v>0</v>
      </c>
    </row>
    <row r="163" spans="1:17" ht="14.4" customHeight="1" x14ac:dyDescent="0.3">
      <c r="A163" s="696" t="s">
        <v>505</v>
      </c>
      <c r="B163" s="697" t="s">
        <v>2995</v>
      </c>
      <c r="C163" s="697" t="s">
        <v>2708</v>
      </c>
      <c r="D163" s="697" t="s">
        <v>2761</v>
      </c>
      <c r="E163" s="697" t="s">
        <v>2762</v>
      </c>
      <c r="F163" s="701">
        <v>22</v>
      </c>
      <c r="G163" s="701">
        <v>15598</v>
      </c>
      <c r="H163" s="701">
        <v>1.8307511737089202</v>
      </c>
      <c r="I163" s="701">
        <v>709</v>
      </c>
      <c r="J163" s="701">
        <v>12</v>
      </c>
      <c r="K163" s="701">
        <v>8520</v>
      </c>
      <c r="L163" s="701">
        <v>1</v>
      </c>
      <c r="M163" s="701">
        <v>710</v>
      </c>
      <c r="N163" s="701">
        <v>1</v>
      </c>
      <c r="O163" s="701">
        <v>712</v>
      </c>
      <c r="P163" s="723">
        <v>8.3568075117370896E-2</v>
      </c>
      <c r="Q163" s="702">
        <v>712</v>
      </c>
    </row>
    <row r="164" spans="1:17" ht="14.4" customHeight="1" x14ac:dyDescent="0.3">
      <c r="A164" s="696" t="s">
        <v>505</v>
      </c>
      <c r="B164" s="697" t="s">
        <v>2995</v>
      </c>
      <c r="C164" s="697" t="s">
        <v>2708</v>
      </c>
      <c r="D164" s="697" t="s">
        <v>2996</v>
      </c>
      <c r="E164" s="697" t="s">
        <v>2997</v>
      </c>
      <c r="F164" s="701">
        <v>3</v>
      </c>
      <c r="G164" s="701">
        <v>927</v>
      </c>
      <c r="H164" s="701"/>
      <c r="I164" s="701">
        <v>309</v>
      </c>
      <c r="J164" s="701"/>
      <c r="K164" s="701"/>
      <c r="L164" s="701"/>
      <c r="M164" s="701"/>
      <c r="N164" s="701"/>
      <c r="O164" s="701"/>
      <c r="P164" s="723"/>
      <c r="Q164" s="702"/>
    </row>
    <row r="165" spans="1:17" ht="14.4" customHeight="1" x14ac:dyDescent="0.3">
      <c r="A165" s="696" t="s">
        <v>505</v>
      </c>
      <c r="B165" s="697" t="s">
        <v>2995</v>
      </c>
      <c r="C165" s="697" t="s">
        <v>2708</v>
      </c>
      <c r="D165" s="697" t="s">
        <v>2998</v>
      </c>
      <c r="E165" s="697" t="s">
        <v>2999</v>
      </c>
      <c r="F165" s="701">
        <v>3</v>
      </c>
      <c r="G165" s="701">
        <v>1464</v>
      </c>
      <c r="H165" s="701"/>
      <c r="I165" s="701">
        <v>488</v>
      </c>
      <c r="J165" s="701"/>
      <c r="K165" s="701"/>
      <c r="L165" s="701"/>
      <c r="M165" s="701"/>
      <c r="N165" s="701">
        <v>1</v>
      </c>
      <c r="O165" s="701">
        <v>604</v>
      </c>
      <c r="P165" s="723"/>
      <c r="Q165" s="702">
        <v>604</v>
      </c>
    </row>
    <row r="166" spans="1:17" ht="14.4" customHeight="1" x14ac:dyDescent="0.3">
      <c r="A166" s="696" t="s">
        <v>505</v>
      </c>
      <c r="B166" s="697" t="s">
        <v>2995</v>
      </c>
      <c r="C166" s="697" t="s">
        <v>2708</v>
      </c>
      <c r="D166" s="697" t="s">
        <v>3000</v>
      </c>
      <c r="E166" s="697" t="s">
        <v>3001</v>
      </c>
      <c r="F166" s="701"/>
      <c r="G166" s="701"/>
      <c r="H166" s="701"/>
      <c r="I166" s="701"/>
      <c r="J166" s="701"/>
      <c r="K166" s="701"/>
      <c r="L166" s="701"/>
      <c r="M166" s="701"/>
      <c r="N166" s="701">
        <v>1</v>
      </c>
      <c r="O166" s="701">
        <v>81</v>
      </c>
      <c r="P166" s="723"/>
      <c r="Q166" s="702">
        <v>81</v>
      </c>
    </row>
    <row r="167" spans="1:17" ht="14.4" customHeight="1" x14ac:dyDescent="0.3">
      <c r="A167" s="696" t="s">
        <v>505</v>
      </c>
      <c r="B167" s="697" t="s">
        <v>2995</v>
      </c>
      <c r="C167" s="697" t="s">
        <v>2708</v>
      </c>
      <c r="D167" s="697" t="s">
        <v>3000</v>
      </c>
      <c r="E167" s="697" t="s">
        <v>3002</v>
      </c>
      <c r="F167" s="701"/>
      <c r="G167" s="701"/>
      <c r="H167" s="701"/>
      <c r="I167" s="701"/>
      <c r="J167" s="701">
        <v>1</v>
      </c>
      <c r="K167" s="701">
        <v>97</v>
      </c>
      <c r="L167" s="701">
        <v>1</v>
      </c>
      <c r="M167" s="701">
        <v>97</v>
      </c>
      <c r="N167" s="701">
        <v>2</v>
      </c>
      <c r="O167" s="701">
        <v>162</v>
      </c>
      <c r="P167" s="723">
        <v>1.6701030927835052</v>
      </c>
      <c r="Q167" s="702">
        <v>81</v>
      </c>
    </row>
    <row r="168" spans="1:17" ht="14.4" customHeight="1" x14ac:dyDescent="0.3">
      <c r="A168" s="696" t="s">
        <v>505</v>
      </c>
      <c r="B168" s="697" t="s">
        <v>2995</v>
      </c>
      <c r="C168" s="697" t="s">
        <v>2708</v>
      </c>
      <c r="D168" s="697" t="s">
        <v>3003</v>
      </c>
      <c r="E168" s="697" t="s">
        <v>3004</v>
      </c>
      <c r="F168" s="701">
        <v>4</v>
      </c>
      <c r="G168" s="701">
        <v>14600</v>
      </c>
      <c r="H168" s="701">
        <v>1.9989047097480832</v>
      </c>
      <c r="I168" s="701">
        <v>3650</v>
      </c>
      <c r="J168" s="701">
        <v>2</v>
      </c>
      <c r="K168" s="701">
        <v>7304</v>
      </c>
      <c r="L168" s="701">
        <v>1</v>
      </c>
      <c r="M168" s="701">
        <v>3652</v>
      </c>
      <c r="N168" s="701">
        <v>1</v>
      </c>
      <c r="O168" s="701">
        <v>3658</v>
      </c>
      <c r="P168" s="723">
        <v>0.50082146768893754</v>
      </c>
      <c r="Q168" s="702">
        <v>3658</v>
      </c>
    </row>
    <row r="169" spans="1:17" ht="14.4" customHeight="1" x14ac:dyDescent="0.3">
      <c r="A169" s="696" t="s">
        <v>505</v>
      </c>
      <c r="B169" s="697" t="s">
        <v>2995</v>
      </c>
      <c r="C169" s="697" t="s">
        <v>2708</v>
      </c>
      <c r="D169" s="697" t="s">
        <v>3005</v>
      </c>
      <c r="E169" s="697" t="s">
        <v>3006</v>
      </c>
      <c r="F169" s="701">
        <v>3</v>
      </c>
      <c r="G169" s="701">
        <v>14712</v>
      </c>
      <c r="H169" s="701">
        <v>2.997555012224939</v>
      </c>
      <c r="I169" s="701">
        <v>4904</v>
      </c>
      <c r="J169" s="701">
        <v>1</v>
      </c>
      <c r="K169" s="701">
        <v>4908</v>
      </c>
      <c r="L169" s="701">
        <v>1</v>
      </c>
      <c r="M169" s="701">
        <v>4908</v>
      </c>
      <c r="N169" s="701">
        <v>2</v>
      </c>
      <c r="O169" s="701">
        <v>9834</v>
      </c>
      <c r="P169" s="723">
        <v>2.0036674816625917</v>
      </c>
      <c r="Q169" s="702">
        <v>4917</v>
      </c>
    </row>
    <row r="170" spans="1:17" ht="14.4" customHeight="1" x14ac:dyDescent="0.3">
      <c r="A170" s="696" t="s">
        <v>505</v>
      </c>
      <c r="B170" s="697" t="s">
        <v>2995</v>
      </c>
      <c r="C170" s="697" t="s">
        <v>2708</v>
      </c>
      <c r="D170" s="697" t="s">
        <v>3007</v>
      </c>
      <c r="E170" s="697" t="s">
        <v>3008</v>
      </c>
      <c r="F170" s="701">
        <v>2</v>
      </c>
      <c r="G170" s="701">
        <v>8680</v>
      </c>
      <c r="H170" s="701"/>
      <c r="I170" s="701">
        <v>4340</v>
      </c>
      <c r="J170" s="701"/>
      <c r="K170" s="701"/>
      <c r="L170" s="701"/>
      <c r="M170" s="701"/>
      <c r="N170" s="701"/>
      <c r="O170" s="701"/>
      <c r="P170" s="723"/>
      <c r="Q170" s="702"/>
    </row>
    <row r="171" spans="1:17" ht="14.4" customHeight="1" x14ac:dyDescent="0.3">
      <c r="A171" s="696" t="s">
        <v>505</v>
      </c>
      <c r="B171" s="697" t="s">
        <v>2995</v>
      </c>
      <c r="C171" s="697" t="s">
        <v>2708</v>
      </c>
      <c r="D171" s="697" t="s">
        <v>3009</v>
      </c>
      <c r="E171" s="697" t="s">
        <v>3010</v>
      </c>
      <c r="F171" s="701">
        <v>3</v>
      </c>
      <c r="G171" s="701">
        <v>360</v>
      </c>
      <c r="H171" s="701"/>
      <c r="I171" s="701">
        <v>120</v>
      </c>
      <c r="J171" s="701"/>
      <c r="K171" s="701"/>
      <c r="L171" s="701"/>
      <c r="M171" s="701"/>
      <c r="N171" s="701"/>
      <c r="O171" s="701"/>
      <c r="P171" s="723"/>
      <c r="Q171" s="702"/>
    </row>
    <row r="172" spans="1:17" ht="14.4" customHeight="1" x14ac:dyDescent="0.3">
      <c r="A172" s="696" t="s">
        <v>505</v>
      </c>
      <c r="B172" s="697" t="s">
        <v>2995</v>
      </c>
      <c r="C172" s="697" t="s">
        <v>2708</v>
      </c>
      <c r="D172" s="697" t="s">
        <v>3011</v>
      </c>
      <c r="E172" s="697" t="s">
        <v>3012</v>
      </c>
      <c r="F172" s="701">
        <v>5</v>
      </c>
      <c r="G172" s="701">
        <v>1795</v>
      </c>
      <c r="H172" s="701"/>
      <c r="I172" s="701">
        <v>359</v>
      </c>
      <c r="J172" s="701"/>
      <c r="K172" s="701"/>
      <c r="L172" s="701"/>
      <c r="M172" s="701"/>
      <c r="N172" s="701"/>
      <c r="O172" s="701"/>
      <c r="P172" s="723"/>
      <c r="Q172" s="702"/>
    </row>
    <row r="173" spans="1:17" ht="14.4" customHeight="1" x14ac:dyDescent="0.3">
      <c r="A173" s="696" t="s">
        <v>505</v>
      </c>
      <c r="B173" s="697" t="s">
        <v>2995</v>
      </c>
      <c r="C173" s="697" t="s">
        <v>2708</v>
      </c>
      <c r="D173" s="697" t="s">
        <v>3013</v>
      </c>
      <c r="E173" s="697" t="s">
        <v>3014</v>
      </c>
      <c r="F173" s="701">
        <v>2</v>
      </c>
      <c r="G173" s="701">
        <v>8936</v>
      </c>
      <c r="H173" s="701"/>
      <c r="I173" s="701">
        <v>4468</v>
      </c>
      <c r="J173" s="701"/>
      <c r="K173" s="701"/>
      <c r="L173" s="701"/>
      <c r="M173" s="701"/>
      <c r="N173" s="701">
        <v>1</v>
      </c>
      <c r="O173" s="701">
        <v>4476</v>
      </c>
      <c r="P173" s="723"/>
      <c r="Q173" s="702">
        <v>4476</v>
      </c>
    </row>
    <row r="174" spans="1:17" ht="14.4" customHeight="1" x14ac:dyDescent="0.3">
      <c r="A174" s="696" t="s">
        <v>505</v>
      </c>
      <c r="B174" s="697" t="s">
        <v>2995</v>
      </c>
      <c r="C174" s="697" t="s">
        <v>2708</v>
      </c>
      <c r="D174" s="697" t="s">
        <v>3015</v>
      </c>
      <c r="E174" s="697" t="s">
        <v>3016</v>
      </c>
      <c r="F174" s="701">
        <v>3</v>
      </c>
      <c r="G174" s="701">
        <v>7398</v>
      </c>
      <c r="H174" s="701"/>
      <c r="I174" s="701">
        <v>2466</v>
      </c>
      <c r="J174" s="701"/>
      <c r="K174" s="701"/>
      <c r="L174" s="701"/>
      <c r="M174" s="701"/>
      <c r="N174" s="701">
        <v>1</v>
      </c>
      <c r="O174" s="701">
        <v>2472</v>
      </c>
      <c r="P174" s="723"/>
      <c r="Q174" s="702">
        <v>2472</v>
      </c>
    </row>
    <row r="175" spans="1:17" ht="14.4" customHeight="1" x14ac:dyDescent="0.3">
      <c r="A175" s="696" t="s">
        <v>505</v>
      </c>
      <c r="B175" s="697" t="s">
        <v>2995</v>
      </c>
      <c r="C175" s="697" t="s">
        <v>2708</v>
      </c>
      <c r="D175" s="697" t="s">
        <v>3017</v>
      </c>
      <c r="E175" s="697" t="s">
        <v>3018</v>
      </c>
      <c r="F175" s="701">
        <v>10</v>
      </c>
      <c r="G175" s="701">
        <v>55070</v>
      </c>
      <c r="H175" s="701">
        <v>9.9963695770557273</v>
      </c>
      <c r="I175" s="701">
        <v>5507</v>
      </c>
      <c r="J175" s="701">
        <v>1</v>
      </c>
      <c r="K175" s="701">
        <v>5509</v>
      </c>
      <c r="L175" s="701">
        <v>1</v>
      </c>
      <c r="M175" s="701">
        <v>5509</v>
      </c>
      <c r="N175" s="701">
        <v>3</v>
      </c>
      <c r="O175" s="701">
        <v>16545</v>
      </c>
      <c r="P175" s="723">
        <v>3.0032673806498456</v>
      </c>
      <c r="Q175" s="702">
        <v>5515</v>
      </c>
    </row>
    <row r="176" spans="1:17" ht="14.4" customHeight="1" x14ac:dyDescent="0.3">
      <c r="A176" s="696" t="s">
        <v>505</v>
      </c>
      <c r="B176" s="697" t="s">
        <v>2995</v>
      </c>
      <c r="C176" s="697" t="s">
        <v>2708</v>
      </c>
      <c r="D176" s="697" t="s">
        <v>3019</v>
      </c>
      <c r="E176" s="697" t="s">
        <v>3020</v>
      </c>
      <c r="F176" s="701">
        <v>1</v>
      </c>
      <c r="G176" s="701">
        <v>9211</v>
      </c>
      <c r="H176" s="701">
        <v>0.49956611346132984</v>
      </c>
      <c r="I176" s="701">
        <v>9211</v>
      </c>
      <c r="J176" s="701">
        <v>2</v>
      </c>
      <c r="K176" s="701">
        <v>18438</v>
      </c>
      <c r="L176" s="701">
        <v>1</v>
      </c>
      <c r="M176" s="701">
        <v>9219</v>
      </c>
      <c r="N176" s="701"/>
      <c r="O176" s="701"/>
      <c r="P176" s="723"/>
      <c r="Q176" s="702"/>
    </row>
    <row r="177" spans="1:17" ht="14.4" customHeight="1" x14ac:dyDescent="0.3">
      <c r="A177" s="696" t="s">
        <v>505</v>
      </c>
      <c r="B177" s="697" t="s">
        <v>2995</v>
      </c>
      <c r="C177" s="697" t="s">
        <v>2708</v>
      </c>
      <c r="D177" s="697" t="s">
        <v>3021</v>
      </c>
      <c r="E177" s="697" t="s">
        <v>3022</v>
      </c>
      <c r="F177" s="701">
        <v>1</v>
      </c>
      <c r="G177" s="701">
        <v>1596</v>
      </c>
      <c r="H177" s="701"/>
      <c r="I177" s="701">
        <v>1596</v>
      </c>
      <c r="J177" s="701"/>
      <c r="K177" s="701"/>
      <c r="L177" s="701"/>
      <c r="M177" s="701"/>
      <c r="N177" s="701"/>
      <c r="O177" s="701"/>
      <c r="P177" s="723"/>
      <c r="Q177" s="702"/>
    </row>
    <row r="178" spans="1:17" ht="14.4" customHeight="1" x14ac:dyDescent="0.3">
      <c r="A178" s="696" t="s">
        <v>505</v>
      </c>
      <c r="B178" s="697" t="s">
        <v>2995</v>
      </c>
      <c r="C178" s="697" t="s">
        <v>2708</v>
      </c>
      <c r="D178" s="697" t="s">
        <v>3023</v>
      </c>
      <c r="E178" s="697" t="s">
        <v>3024</v>
      </c>
      <c r="F178" s="701"/>
      <c r="G178" s="701"/>
      <c r="H178" s="701"/>
      <c r="I178" s="701"/>
      <c r="J178" s="701">
        <v>1</v>
      </c>
      <c r="K178" s="701">
        <v>2987</v>
      </c>
      <c r="L178" s="701">
        <v>1</v>
      </c>
      <c r="M178" s="701">
        <v>2987</v>
      </c>
      <c r="N178" s="701"/>
      <c r="O178" s="701"/>
      <c r="P178" s="723"/>
      <c r="Q178" s="702"/>
    </row>
    <row r="179" spans="1:17" ht="14.4" customHeight="1" x14ac:dyDescent="0.3">
      <c r="A179" s="696" t="s">
        <v>505</v>
      </c>
      <c r="B179" s="697" t="s">
        <v>2995</v>
      </c>
      <c r="C179" s="697" t="s">
        <v>2708</v>
      </c>
      <c r="D179" s="697" t="s">
        <v>3025</v>
      </c>
      <c r="E179" s="697" t="s">
        <v>3026</v>
      </c>
      <c r="F179" s="701"/>
      <c r="G179" s="701"/>
      <c r="H179" s="701"/>
      <c r="I179" s="701"/>
      <c r="J179" s="701"/>
      <c r="K179" s="701"/>
      <c r="L179" s="701"/>
      <c r="M179" s="701"/>
      <c r="N179" s="701">
        <v>1</v>
      </c>
      <c r="O179" s="701">
        <v>1313</v>
      </c>
      <c r="P179" s="723"/>
      <c r="Q179" s="702">
        <v>1313</v>
      </c>
    </row>
    <row r="180" spans="1:17" ht="14.4" customHeight="1" x14ac:dyDescent="0.3">
      <c r="A180" s="696" t="s">
        <v>505</v>
      </c>
      <c r="B180" s="697" t="s">
        <v>2995</v>
      </c>
      <c r="C180" s="697" t="s">
        <v>2708</v>
      </c>
      <c r="D180" s="697" t="s">
        <v>3025</v>
      </c>
      <c r="E180" s="697" t="s">
        <v>3027</v>
      </c>
      <c r="F180" s="701">
        <v>1</v>
      </c>
      <c r="G180" s="701">
        <v>1309</v>
      </c>
      <c r="H180" s="701"/>
      <c r="I180" s="701">
        <v>1309</v>
      </c>
      <c r="J180" s="701"/>
      <c r="K180" s="701"/>
      <c r="L180" s="701"/>
      <c r="M180" s="701"/>
      <c r="N180" s="701"/>
      <c r="O180" s="701"/>
      <c r="P180" s="723"/>
      <c r="Q180" s="702"/>
    </row>
    <row r="181" spans="1:17" ht="14.4" customHeight="1" x14ac:dyDescent="0.3">
      <c r="A181" s="696" t="s">
        <v>505</v>
      </c>
      <c r="B181" s="697" t="s">
        <v>2995</v>
      </c>
      <c r="C181" s="697" t="s">
        <v>2708</v>
      </c>
      <c r="D181" s="697" t="s">
        <v>3028</v>
      </c>
      <c r="E181" s="697" t="s">
        <v>3029</v>
      </c>
      <c r="F181" s="701">
        <v>10</v>
      </c>
      <c r="G181" s="701">
        <v>42630</v>
      </c>
      <c r="H181" s="701">
        <v>3.3309892170651665</v>
      </c>
      <c r="I181" s="701">
        <v>4263</v>
      </c>
      <c r="J181" s="701">
        <v>3</v>
      </c>
      <c r="K181" s="701">
        <v>12798</v>
      </c>
      <c r="L181" s="701">
        <v>1</v>
      </c>
      <c r="M181" s="701">
        <v>4266</v>
      </c>
      <c r="N181" s="701">
        <v>4</v>
      </c>
      <c r="O181" s="701">
        <v>17093</v>
      </c>
      <c r="P181" s="723">
        <v>1.3355993123925614</v>
      </c>
      <c r="Q181" s="702">
        <v>4273.25</v>
      </c>
    </row>
    <row r="182" spans="1:17" ht="14.4" customHeight="1" x14ac:dyDescent="0.3">
      <c r="A182" s="696" t="s">
        <v>505</v>
      </c>
      <c r="B182" s="697" t="s">
        <v>2995</v>
      </c>
      <c r="C182" s="697" t="s">
        <v>2708</v>
      </c>
      <c r="D182" s="697" t="s">
        <v>3028</v>
      </c>
      <c r="E182" s="697" t="s">
        <v>3030</v>
      </c>
      <c r="F182" s="701">
        <v>1</v>
      </c>
      <c r="G182" s="701">
        <v>4263</v>
      </c>
      <c r="H182" s="701">
        <v>0.49964838255977495</v>
      </c>
      <c r="I182" s="701">
        <v>4263</v>
      </c>
      <c r="J182" s="701">
        <v>2</v>
      </c>
      <c r="K182" s="701">
        <v>8532</v>
      </c>
      <c r="L182" s="701">
        <v>1</v>
      </c>
      <c r="M182" s="701">
        <v>4266</v>
      </c>
      <c r="N182" s="701"/>
      <c r="O182" s="701"/>
      <c r="P182" s="723"/>
      <c r="Q182" s="702"/>
    </row>
    <row r="183" spans="1:17" ht="14.4" customHeight="1" x14ac:dyDescent="0.3">
      <c r="A183" s="696" t="s">
        <v>505</v>
      </c>
      <c r="B183" s="697" t="s">
        <v>2995</v>
      </c>
      <c r="C183" s="697" t="s">
        <v>2708</v>
      </c>
      <c r="D183" s="697" t="s">
        <v>3031</v>
      </c>
      <c r="E183" s="697" t="s">
        <v>3032</v>
      </c>
      <c r="F183" s="701">
        <v>4</v>
      </c>
      <c r="G183" s="701">
        <v>3884</v>
      </c>
      <c r="H183" s="701">
        <v>3.9958847736625516</v>
      </c>
      <c r="I183" s="701">
        <v>971</v>
      </c>
      <c r="J183" s="701">
        <v>1</v>
      </c>
      <c r="K183" s="701">
        <v>972</v>
      </c>
      <c r="L183" s="701">
        <v>1</v>
      </c>
      <c r="M183" s="701">
        <v>972</v>
      </c>
      <c r="N183" s="701"/>
      <c r="O183" s="701"/>
      <c r="P183" s="723"/>
      <c r="Q183" s="702"/>
    </row>
    <row r="184" spans="1:17" ht="14.4" customHeight="1" x14ac:dyDescent="0.3">
      <c r="A184" s="696" t="s">
        <v>505</v>
      </c>
      <c r="B184" s="697" t="s">
        <v>2995</v>
      </c>
      <c r="C184" s="697" t="s">
        <v>2708</v>
      </c>
      <c r="D184" s="697" t="s">
        <v>3031</v>
      </c>
      <c r="E184" s="697" t="s">
        <v>3033</v>
      </c>
      <c r="F184" s="701"/>
      <c r="G184" s="701"/>
      <c r="H184" s="701"/>
      <c r="I184" s="701"/>
      <c r="J184" s="701">
        <v>1</v>
      </c>
      <c r="K184" s="701">
        <v>972</v>
      </c>
      <c r="L184" s="701">
        <v>1</v>
      </c>
      <c r="M184" s="701">
        <v>972</v>
      </c>
      <c r="N184" s="701"/>
      <c r="O184" s="701"/>
      <c r="P184" s="723"/>
      <c r="Q184" s="702"/>
    </row>
    <row r="185" spans="1:17" ht="14.4" customHeight="1" x14ac:dyDescent="0.3">
      <c r="A185" s="696" t="s">
        <v>505</v>
      </c>
      <c r="B185" s="697" t="s">
        <v>2995</v>
      </c>
      <c r="C185" s="697" t="s">
        <v>2708</v>
      </c>
      <c r="D185" s="697" t="s">
        <v>3034</v>
      </c>
      <c r="E185" s="697" t="s">
        <v>3035</v>
      </c>
      <c r="F185" s="701">
        <v>1</v>
      </c>
      <c r="G185" s="701">
        <v>930</v>
      </c>
      <c r="H185" s="701"/>
      <c r="I185" s="701">
        <v>930</v>
      </c>
      <c r="J185" s="701"/>
      <c r="K185" s="701"/>
      <c r="L185" s="701"/>
      <c r="M185" s="701"/>
      <c r="N185" s="701"/>
      <c r="O185" s="701"/>
      <c r="P185" s="723"/>
      <c r="Q185" s="702"/>
    </row>
    <row r="186" spans="1:17" ht="14.4" customHeight="1" x14ac:dyDescent="0.3">
      <c r="A186" s="696" t="s">
        <v>505</v>
      </c>
      <c r="B186" s="697" t="s">
        <v>2995</v>
      </c>
      <c r="C186" s="697" t="s">
        <v>2708</v>
      </c>
      <c r="D186" s="697" t="s">
        <v>3036</v>
      </c>
      <c r="E186" s="697" t="s">
        <v>3037</v>
      </c>
      <c r="F186" s="701"/>
      <c r="G186" s="701"/>
      <c r="H186" s="701"/>
      <c r="I186" s="701"/>
      <c r="J186" s="701">
        <v>1</v>
      </c>
      <c r="K186" s="701">
        <v>3092</v>
      </c>
      <c r="L186" s="701">
        <v>1</v>
      </c>
      <c r="M186" s="701">
        <v>3092</v>
      </c>
      <c r="N186" s="701"/>
      <c r="O186" s="701"/>
      <c r="P186" s="723"/>
      <c r="Q186" s="702"/>
    </row>
    <row r="187" spans="1:17" ht="14.4" customHeight="1" x14ac:dyDescent="0.3">
      <c r="A187" s="696" t="s">
        <v>505</v>
      </c>
      <c r="B187" s="697" t="s">
        <v>2995</v>
      </c>
      <c r="C187" s="697" t="s">
        <v>2708</v>
      </c>
      <c r="D187" s="697" t="s">
        <v>2767</v>
      </c>
      <c r="E187" s="697" t="s">
        <v>2769</v>
      </c>
      <c r="F187" s="701">
        <v>1</v>
      </c>
      <c r="G187" s="701">
        <v>836</v>
      </c>
      <c r="H187" s="701"/>
      <c r="I187" s="701">
        <v>836</v>
      </c>
      <c r="J187" s="701"/>
      <c r="K187" s="701"/>
      <c r="L187" s="701"/>
      <c r="M187" s="701"/>
      <c r="N187" s="701"/>
      <c r="O187" s="701"/>
      <c r="P187" s="723"/>
      <c r="Q187" s="702"/>
    </row>
    <row r="188" spans="1:17" ht="14.4" customHeight="1" x14ac:dyDescent="0.3">
      <c r="A188" s="696" t="s">
        <v>505</v>
      </c>
      <c r="B188" s="697" t="s">
        <v>2995</v>
      </c>
      <c r="C188" s="697" t="s">
        <v>2708</v>
      </c>
      <c r="D188" s="697" t="s">
        <v>3038</v>
      </c>
      <c r="E188" s="697" t="s">
        <v>3039</v>
      </c>
      <c r="F188" s="701">
        <v>2</v>
      </c>
      <c r="G188" s="701">
        <v>8278</v>
      </c>
      <c r="H188" s="701">
        <v>1.9985514244326412</v>
      </c>
      <c r="I188" s="701">
        <v>4139</v>
      </c>
      <c r="J188" s="701">
        <v>1</v>
      </c>
      <c r="K188" s="701">
        <v>4142</v>
      </c>
      <c r="L188" s="701">
        <v>1</v>
      </c>
      <c r="M188" s="701">
        <v>4142</v>
      </c>
      <c r="N188" s="701"/>
      <c r="O188" s="701"/>
      <c r="P188" s="723"/>
      <c r="Q188" s="702"/>
    </row>
    <row r="189" spans="1:17" ht="14.4" customHeight="1" x14ac:dyDescent="0.3">
      <c r="A189" s="696" t="s">
        <v>505</v>
      </c>
      <c r="B189" s="697" t="s">
        <v>2995</v>
      </c>
      <c r="C189" s="697" t="s">
        <v>2708</v>
      </c>
      <c r="D189" s="697" t="s">
        <v>3040</v>
      </c>
      <c r="E189" s="697" t="s">
        <v>3041</v>
      </c>
      <c r="F189" s="701">
        <v>1</v>
      </c>
      <c r="G189" s="701">
        <v>394</v>
      </c>
      <c r="H189" s="701"/>
      <c r="I189" s="701">
        <v>394</v>
      </c>
      <c r="J189" s="701"/>
      <c r="K189" s="701"/>
      <c r="L189" s="701"/>
      <c r="M189" s="701"/>
      <c r="N189" s="701"/>
      <c r="O189" s="701"/>
      <c r="P189" s="723"/>
      <c r="Q189" s="702"/>
    </row>
    <row r="190" spans="1:17" ht="14.4" customHeight="1" x14ac:dyDescent="0.3">
      <c r="A190" s="696" t="s">
        <v>505</v>
      </c>
      <c r="B190" s="697" t="s">
        <v>2995</v>
      </c>
      <c r="C190" s="697" t="s">
        <v>2708</v>
      </c>
      <c r="D190" s="697" t="s">
        <v>3042</v>
      </c>
      <c r="E190" s="697" t="s">
        <v>3043</v>
      </c>
      <c r="F190" s="701">
        <v>9</v>
      </c>
      <c r="G190" s="701">
        <v>26550</v>
      </c>
      <c r="H190" s="701">
        <v>8.9939024390243905</v>
      </c>
      <c r="I190" s="701">
        <v>2950</v>
      </c>
      <c r="J190" s="701">
        <v>1</v>
      </c>
      <c r="K190" s="701">
        <v>2952</v>
      </c>
      <c r="L190" s="701">
        <v>1</v>
      </c>
      <c r="M190" s="701">
        <v>2952</v>
      </c>
      <c r="N190" s="701">
        <v>3</v>
      </c>
      <c r="O190" s="701">
        <v>8874</v>
      </c>
      <c r="P190" s="723">
        <v>3.0060975609756095</v>
      </c>
      <c r="Q190" s="702">
        <v>2958</v>
      </c>
    </row>
    <row r="191" spans="1:17" ht="14.4" customHeight="1" x14ac:dyDescent="0.3">
      <c r="A191" s="696" t="s">
        <v>505</v>
      </c>
      <c r="B191" s="697" t="s">
        <v>2995</v>
      </c>
      <c r="C191" s="697" t="s">
        <v>2708</v>
      </c>
      <c r="D191" s="697" t="s">
        <v>2847</v>
      </c>
      <c r="E191" s="697" t="s">
        <v>2848</v>
      </c>
      <c r="F191" s="701">
        <v>3</v>
      </c>
      <c r="G191" s="701">
        <v>1332</v>
      </c>
      <c r="H191" s="701">
        <v>2.9932584269662921</v>
      </c>
      <c r="I191" s="701">
        <v>444</v>
      </c>
      <c r="J191" s="701">
        <v>1</v>
      </c>
      <c r="K191" s="701">
        <v>445</v>
      </c>
      <c r="L191" s="701">
        <v>1</v>
      </c>
      <c r="M191" s="701">
        <v>445</v>
      </c>
      <c r="N191" s="701">
        <v>1</v>
      </c>
      <c r="O191" s="701">
        <v>446</v>
      </c>
      <c r="P191" s="723">
        <v>1.002247191011236</v>
      </c>
      <c r="Q191" s="702">
        <v>446</v>
      </c>
    </row>
    <row r="192" spans="1:17" ht="14.4" customHeight="1" x14ac:dyDescent="0.3">
      <c r="A192" s="696" t="s">
        <v>505</v>
      </c>
      <c r="B192" s="697" t="s">
        <v>2995</v>
      </c>
      <c r="C192" s="697" t="s">
        <v>2708</v>
      </c>
      <c r="D192" s="697" t="s">
        <v>2850</v>
      </c>
      <c r="E192" s="697" t="s">
        <v>2851</v>
      </c>
      <c r="F192" s="701">
        <v>23</v>
      </c>
      <c r="G192" s="701">
        <v>19895</v>
      </c>
      <c r="H192" s="701">
        <v>3.2857142857142856</v>
      </c>
      <c r="I192" s="701">
        <v>865</v>
      </c>
      <c r="J192" s="701">
        <v>7</v>
      </c>
      <c r="K192" s="701">
        <v>6055</v>
      </c>
      <c r="L192" s="701">
        <v>1</v>
      </c>
      <c r="M192" s="701">
        <v>865</v>
      </c>
      <c r="N192" s="701">
        <v>7</v>
      </c>
      <c r="O192" s="701">
        <v>6062</v>
      </c>
      <c r="P192" s="723">
        <v>1.0011560693641619</v>
      </c>
      <c r="Q192" s="702">
        <v>866</v>
      </c>
    </row>
    <row r="193" spans="1:17" ht="14.4" customHeight="1" x14ac:dyDescent="0.3">
      <c r="A193" s="696" t="s">
        <v>505</v>
      </c>
      <c r="B193" s="697" t="s">
        <v>2995</v>
      </c>
      <c r="C193" s="697" t="s">
        <v>2708</v>
      </c>
      <c r="D193" s="697" t="s">
        <v>3044</v>
      </c>
      <c r="E193" s="697" t="s">
        <v>3045</v>
      </c>
      <c r="F193" s="701">
        <v>27</v>
      </c>
      <c r="G193" s="701">
        <v>3240</v>
      </c>
      <c r="H193" s="701">
        <v>3.8571428571428572</v>
      </c>
      <c r="I193" s="701">
        <v>120</v>
      </c>
      <c r="J193" s="701">
        <v>7</v>
      </c>
      <c r="K193" s="701">
        <v>840</v>
      </c>
      <c r="L193" s="701">
        <v>1</v>
      </c>
      <c r="M193" s="701">
        <v>120</v>
      </c>
      <c r="N193" s="701">
        <v>8</v>
      </c>
      <c r="O193" s="701">
        <v>968</v>
      </c>
      <c r="P193" s="723">
        <v>1.1523809523809523</v>
      </c>
      <c r="Q193" s="702">
        <v>121</v>
      </c>
    </row>
    <row r="194" spans="1:17" ht="14.4" customHeight="1" x14ac:dyDescent="0.3">
      <c r="A194" s="696" t="s">
        <v>505</v>
      </c>
      <c r="B194" s="697" t="s">
        <v>2995</v>
      </c>
      <c r="C194" s="697" t="s">
        <v>2708</v>
      </c>
      <c r="D194" s="697" t="s">
        <v>3044</v>
      </c>
      <c r="E194" s="697" t="s">
        <v>3046</v>
      </c>
      <c r="F194" s="701">
        <v>1</v>
      </c>
      <c r="G194" s="701">
        <v>120</v>
      </c>
      <c r="H194" s="701">
        <v>1</v>
      </c>
      <c r="I194" s="701">
        <v>120</v>
      </c>
      <c r="J194" s="701">
        <v>1</v>
      </c>
      <c r="K194" s="701">
        <v>120</v>
      </c>
      <c r="L194" s="701">
        <v>1</v>
      </c>
      <c r="M194" s="701">
        <v>120</v>
      </c>
      <c r="N194" s="701">
        <v>1</v>
      </c>
      <c r="O194" s="701">
        <v>121</v>
      </c>
      <c r="P194" s="723">
        <v>1.0083333333333333</v>
      </c>
      <c r="Q194" s="702">
        <v>121</v>
      </c>
    </row>
    <row r="195" spans="1:17" ht="14.4" customHeight="1" x14ac:dyDescent="0.3">
      <c r="A195" s="696" t="s">
        <v>505</v>
      </c>
      <c r="B195" s="697" t="s">
        <v>2995</v>
      </c>
      <c r="C195" s="697" t="s">
        <v>2708</v>
      </c>
      <c r="D195" s="697" t="s">
        <v>3047</v>
      </c>
      <c r="E195" s="697" t="s">
        <v>3048</v>
      </c>
      <c r="F195" s="701"/>
      <c r="G195" s="701"/>
      <c r="H195" s="701"/>
      <c r="I195" s="701"/>
      <c r="J195" s="701">
        <v>1</v>
      </c>
      <c r="K195" s="701">
        <v>1862</v>
      </c>
      <c r="L195" s="701">
        <v>1</v>
      </c>
      <c r="M195" s="701">
        <v>1862</v>
      </c>
      <c r="N195" s="701"/>
      <c r="O195" s="701"/>
      <c r="P195" s="723"/>
      <c r="Q195" s="702"/>
    </row>
    <row r="196" spans="1:17" ht="14.4" customHeight="1" x14ac:dyDescent="0.3">
      <c r="A196" s="696" t="s">
        <v>505</v>
      </c>
      <c r="B196" s="697" t="s">
        <v>2995</v>
      </c>
      <c r="C196" s="697" t="s">
        <v>2708</v>
      </c>
      <c r="D196" s="697" t="s">
        <v>3049</v>
      </c>
      <c r="E196" s="697" t="s">
        <v>3050</v>
      </c>
      <c r="F196" s="701">
        <v>3</v>
      </c>
      <c r="G196" s="701">
        <v>957</v>
      </c>
      <c r="H196" s="701"/>
      <c r="I196" s="701">
        <v>319</v>
      </c>
      <c r="J196" s="701"/>
      <c r="K196" s="701"/>
      <c r="L196" s="701"/>
      <c r="M196" s="701"/>
      <c r="N196" s="701"/>
      <c r="O196" s="701"/>
      <c r="P196" s="723"/>
      <c r="Q196" s="702"/>
    </row>
    <row r="197" spans="1:17" ht="14.4" customHeight="1" x14ac:dyDescent="0.3">
      <c r="A197" s="696" t="s">
        <v>505</v>
      </c>
      <c r="B197" s="697" t="s">
        <v>2995</v>
      </c>
      <c r="C197" s="697" t="s">
        <v>2708</v>
      </c>
      <c r="D197" s="697" t="s">
        <v>3051</v>
      </c>
      <c r="E197" s="697" t="s">
        <v>3052</v>
      </c>
      <c r="F197" s="701"/>
      <c r="G197" s="701"/>
      <c r="H197" s="701"/>
      <c r="I197" s="701"/>
      <c r="J197" s="701"/>
      <c r="K197" s="701"/>
      <c r="L197" s="701"/>
      <c r="M197" s="701"/>
      <c r="N197" s="701">
        <v>2</v>
      </c>
      <c r="O197" s="701">
        <v>5310</v>
      </c>
      <c r="P197" s="723"/>
      <c r="Q197" s="702">
        <v>2655</v>
      </c>
    </row>
    <row r="198" spans="1:17" ht="14.4" customHeight="1" x14ac:dyDescent="0.3">
      <c r="A198" s="696" t="s">
        <v>505</v>
      </c>
      <c r="B198" s="697" t="s">
        <v>2995</v>
      </c>
      <c r="C198" s="697" t="s">
        <v>2708</v>
      </c>
      <c r="D198" s="697" t="s">
        <v>3053</v>
      </c>
      <c r="E198" s="697" t="s">
        <v>3054</v>
      </c>
      <c r="F198" s="701">
        <v>10</v>
      </c>
      <c r="G198" s="701">
        <v>57060</v>
      </c>
      <c r="H198" s="701">
        <v>2.4978112414638418</v>
      </c>
      <c r="I198" s="701">
        <v>5706</v>
      </c>
      <c r="J198" s="701">
        <v>4</v>
      </c>
      <c r="K198" s="701">
        <v>22844</v>
      </c>
      <c r="L198" s="701">
        <v>1</v>
      </c>
      <c r="M198" s="701">
        <v>5711</v>
      </c>
      <c r="N198" s="701">
        <v>3</v>
      </c>
      <c r="O198" s="701">
        <v>17178</v>
      </c>
      <c r="P198" s="723">
        <v>0.7519698826825425</v>
      </c>
      <c r="Q198" s="702">
        <v>5726</v>
      </c>
    </row>
    <row r="199" spans="1:17" ht="14.4" customHeight="1" x14ac:dyDescent="0.3">
      <c r="A199" s="696" t="s">
        <v>505</v>
      </c>
      <c r="B199" s="697" t="s">
        <v>2995</v>
      </c>
      <c r="C199" s="697" t="s">
        <v>2708</v>
      </c>
      <c r="D199" s="697" t="s">
        <v>3055</v>
      </c>
      <c r="E199" s="697" t="s">
        <v>3056</v>
      </c>
      <c r="F199" s="701"/>
      <c r="G199" s="701"/>
      <c r="H199" s="701"/>
      <c r="I199" s="701"/>
      <c r="J199" s="701"/>
      <c r="K199" s="701"/>
      <c r="L199" s="701"/>
      <c r="M199" s="701"/>
      <c r="N199" s="701">
        <v>1</v>
      </c>
      <c r="O199" s="701">
        <v>2555</v>
      </c>
      <c r="P199" s="723"/>
      <c r="Q199" s="702">
        <v>2555</v>
      </c>
    </row>
    <row r="200" spans="1:17" ht="14.4" customHeight="1" x14ac:dyDescent="0.3">
      <c r="A200" s="696" t="s">
        <v>505</v>
      </c>
      <c r="B200" s="697" t="s">
        <v>2995</v>
      </c>
      <c r="C200" s="697" t="s">
        <v>2708</v>
      </c>
      <c r="D200" s="697" t="s">
        <v>3057</v>
      </c>
      <c r="E200" s="697" t="s">
        <v>3058</v>
      </c>
      <c r="F200" s="701">
        <v>1</v>
      </c>
      <c r="G200" s="701">
        <v>2548</v>
      </c>
      <c r="H200" s="701"/>
      <c r="I200" s="701">
        <v>2548</v>
      </c>
      <c r="J200" s="701"/>
      <c r="K200" s="701"/>
      <c r="L200" s="701"/>
      <c r="M200" s="701"/>
      <c r="N200" s="701">
        <v>2</v>
      </c>
      <c r="O200" s="701">
        <v>5108</v>
      </c>
      <c r="P200" s="723"/>
      <c r="Q200" s="702">
        <v>2554</v>
      </c>
    </row>
    <row r="201" spans="1:17" ht="14.4" customHeight="1" x14ac:dyDescent="0.3">
      <c r="A201" s="696" t="s">
        <v>505</v>
      </c>
      <c r="B201" s="697" t="s">
        <v>2995</v>
      </c>
      <c r="C201" s="697" t="s">
        <v>2708</v>
      </c>
      <c r="D201" s="697" t="s">
        <v>2894</v>
      </c>
      <c r="E201" s="697" t="s">
        <v>2895</v>
      </c>
      <c r="F201" s="701">
        <v>5</v>
      </c>
      <c r="G201" s="701">
        <v>22850</v>
      </c>
      <c r="H201" s="701"/>
      <c r="I201" s="701">
        <v>4570</v>
      </c>
      <c r="J201" s="701"/>
      <c r="K201" s="701"/>
      <c r="L201" s="701"/>
      <c r="M201" s="701"/>
      <c r="N201" s="701"/>
      <c r="O201" s="701"/>
      <c r="P201" s="723"/>
      <c r="Q201" s="702"/>
    </row>
    <row r="202" spans="1:17" ht="14.4" customHeight="1" x14ac:dyDescent="0.3">
      <c r="A202" s="696" t="s">
        <v>505</v>
      </c>
      <c r="B202" s="697" t="s">
        <v>2995</v>
      </c>
      <c r="C202" s="697" t="s">
        <v>2708</v>
      </c>
      <c r="D202" s="697" t="s">
        <v>3059</v>
      </c>
      <c r="E202" s="697" t="s">
        <v>3060</v>
      </c>
      <c r="F202" s="701"/>
      <c r="G202" s="701"/>
      <c r="H202" s="701"/>
      <c r="I202" s="701"/>
      <c r="J202" s="701"/>
      <c r="K202" s="701"/>
      <c r="L202" s="701"/>
      <c r="M202" s="701"/>
      <c r="N202" s="701">
        <v>1</v>
      </c>
      <c r="O202" s="701">
        <v>3948</v>
      </c>
      <c r="P202" s="723"/>
      <c r="Q202" s="702">
        <v>3948</v>
      </c>
    </row>
    <row r="203" spans="1:17" ht="14.4" customHeight="1" x14ac:dyDescent="0.3">
      <c r="A203" s="696" t="s">
        <v>505</v>
      </c>
      <c r="B203" s="697" t="s">
        <v>2995</v>
      </c>
      <c r="C203" s="697" t="s">
        <v>2708</v>
      </c>
      <c r="D203" s="697" t="s">
        <v>3061</v>
      </c>
      <c r="E203" s="697" t="s">
        <v>3062</v>
      </c>
      <c r="F203" s="701"/>
      <c r="G203" s="701"/>
      <c r="H203" s="701"/>
      <c r="I203" s="701"/>
      <c r="J203" s="701">
        <v>1</v>
      </c>
      <c r="K203" s="701">
        <v>120</v>
      </c>
      <c r="L203" s="701">
        <v>1</v>
      </c>
      <c r="M203" s="701">
        <v>120</v>
      </c>
      <c r="N203" s="701"/>
      <c r="O203" s="701"/>
      <c r="P203" s="723"/>
      <c r="Q203" s="702"/>
    </row>
    <row r="204" spans="1:17" ht="14.4" customHeight="1" x14ac:dyDescent="0.3">
      <c r="A204" s="696" t="s">
        <v>505</v>
      </c>
      <c r="B204" s="697" t="s">
        <v>2995</v>
      </c>
      <c r="C204" s="697" t="s">
        <v>2708</v>
      </c>
      <c r="D204" s="697" t="s">
        <v>3063</v>
      </c>
      <c r="E204" s="697" t="s">
        <v>3064</v>
      </c>
      <c r="F204" s="701"/>
      <c r="G204" s="701"/>
      <c r="H204" s="701"/>
      <c r="I204" s="701"/>
      <c r="J204" s="701">
        <v>1</v>
      </c>
      <c r="K204" s="701">
        <v>6073</v>
      </c>
      <c r="L204" s="701">
        <v>1</v>
      </c>
      <c r="M204" s="701">
        <v>6073</v>
      </c>
      <c r="N204" s="701">
        <v>2</v>
      </c>
      <c r="O204" s="701">
        <v>12164</v>
      </c>
      <c r="P204" s="723">
        <v>2.0029639387452658</v>
      </c>
      <c r="Q204" s="702">
        <v>6082</v>
      </c>
    </row>
    <row r="205" spans="1:17" ht="14.4" customHeight="1" x14ac:dyDescent="0.3">
      <c r="A205" s="696" t="s">
        <v>505</v>
      </c>
      <c r="B205" s="697" t="s">
        <v>2995</v>
      </c>
      <c r="C205" s="697" t="s">
        <v>2708</v>
      </c>
      <c r="D205" s="697" t="s">
        <v>3065</v>
      </c>
      <c r="E205" s="697" t="s">
        <v>3066</v>
      </c>
      <c r="F205" s="701"/>
      <c r="G205" s="701"/>
      <c r="H205" s="701"/>
      <c r="I205" s="701"/>
      <c r="J205" s="701">
        <v>1</v>
      </c>
      <c r="K205" s="701">
        <v>1633</v>
      </c>
      <c r="L205" s="701">
        <v>1</v>
      </c>
      <c r="M205" s="701">
        <v>1633</v>
      </c>
      <c r="N205" s="701"/>
      <c r="O205" s="701"/>
      <c r="P205" s="723"/>
      <c r="Q205" s="702"/>
    </row>
    <row r="206" spans="1:17" ht="14.4" customHeight="1" x14ac:dyDescent="0.3">
      <c r="A206" s="696" t="s">
        <v>505</v>
      </c>
      <c r="B206" s="697" t="s">
        <v>2995</v>
      </c>
      <c r="C206" s="697" t="s">
        <v>2708</v>
      </c>
      <c r="D206" s="697" t="s">
        <v>3067</v>
      </c>
      <c r="E206" s="697" t="s">
        <v>3068</v>
      </c>
      <c r="F206" s="701">
        <v>3</v>
      </c>
      <c r="G206" s="701">
        <v>24918</v>
      </c>
      <c r="H206" s="701">
        <v>0.99927815206929738</v>
      </c>
      <c r="I206" s="701">
        <v>8306</v>
      </c>
      <c r="J206" s="701">
        <v>3</v>
      </c>
      <c r="K206" s="701">
        <v>24936</v>
      </c>
      <c r="L206" s="701">
        <v>1</v>
      </c>
      <c r="M206" s="701">
        <v>8312</v>
      </c>
      <c r="N206" s="701">
        <v>1</v>
      </c>
      <c r="O206" s="701">
        <v>8329</v>
      </c>
      <c r="P206" s="723">
        <v>0.3340150786012191</v>
      </c>
      <c r="Q206" s="702">
        <v>8329</v>
      </c>
    </row>
    <row r="207" spans="1:17" ht="14.4" customHeight="1" x14ac:dyDescent="0.3">
      <c r="A207" s="696" t="s">
        <v>505</v>
      </c>
      <c r="B207" s="697" t="s">
        <v>2995</v>
      </c>
      <c r="C207" s="697" t="s">
        <v>2708</v>
      </c>
      <c r="D207" s="697" t="s">
        <v>3069</v>
      </c>
      <c r="E207" s="697" t="s">
        <v>3070</v>
      </c>
      <c r="F207" s="701"/>
      <c r="G207" s="701"/>
      <c r="H207" s="701"/>
      <c r="I207" s="701"/>
      <c r="J207" s="701"/>
      <c r="K207" s="701"/>
      <c r="L207" s="701"/>
      <c r="M207" s="701"/>
      <c r="N207" s="701">
        <v>1</v>
      </c>
      <c r="O207" s="701">
        <v>894</v>
      </c>
      <c r="P207" s="723"/>
      <c r="Q207" s="702">
        <v>894</v>
      </c>
    </row>
    <row r="208" spans="1:17" ht="14.4" customHeight="1" x14ac:dyDescent="0.3">
      <c r="A208" s="696" t="s">
        <v>505</v>
      </c>
      <c r="B208" s="697" t="s">
        <v>2995</v>
      </c>
      <c r="C208" s="697" t="s">
        <v>2708</v>
      </c>
      <c r="D208" s="697" t="s">
        <v>3071</v>
      </c>
      <c r="E208" s="697" t="s">
        <v>3072</v>
      </c>
      <c r="F208" s="701">
        <v>6</v>
      </c>
      <c r="G208" s="701">
        <v>4260</v>
      </c>
      <c r="H208" s="701"/>
      <c r="I208" s="701">
        <v>710</v>
      </c>
      <c r="J208" s="701"/>
      <c r="K208" s="701"/>
      <c r="L208" s="701"/>
      <c r="M208" s="701"/>
      <c r="N208" s="701"/>
      <c r="O208" s="701"/>
      <c r="P208" s="723"/>
      <c r="Q208" s="702"/>
    </row>
    <row r="209" spans="1:17" ht="14.4" customHeight="1" x14ac:dyDescent="0.3">
      <c r="A209" s="696" t="s">
        <v>505</v>
      </c>
      <c r="B209" s="697" t="s">
        <v>2995</v>
      </c>
      <c r="C209" s="697" t="s">
        <v>2708</v>
      </c>
      <c r="D209" s="697" t="s">
        <v>3073</v>
      </c>
      <c r="E209" s="697" t="s">
        <v>3074</v>
      </c>
      <c r="F209" s="701"/>
      <c r="G209" s="701"/>
      <c r="H209" s="701"/>
      <c r="I209" s="701"/>
      <c r="J209" s="701"/>
      <c r="K209" s="701"/>
      <c r="L209" s="701"/>
      <c r="M209" s="701"/>
      <c r="N209" s="701">
        <v>1</v>
      </c>
      <c r="O209" s="701">
        <v>332</v>
      </c>
      <c r="P209" s="723"/>
      <c r="Q209" s="702">
        <v>332</v>
      </c>
    </row>
    <row r="210" spans="1:17" ht="14.4" customHeight="1" x14ac:dyDescent="0.3">
      <c r="A210" s="696" t="s">
        <v>505</v>
      </c>
      <c r="B210" s="697" t="s">
        <v>2995</v>
      </c>
      <c r="C210" s="697" t="s">
        <v>2708</v>
      </c>
      <c r="D210" s="697" t="s">
        <v>3073</v>
      </c>
      <c r="E210" s="697" t="s">
        <v>3075</v>
      </c>
      <c r="F210" s="701">
        <v>2</v>
      </c>
      <c r="G210" s="701">
        <v>662</v>
      </c>
      <c r="H210" s="701"/>
      <c r="I210" s="701">
        <v>331</v>
      </c>
      <c r="J210" s="701"/>
      <c r="K210" s="701"/>
      <c r="L210" s="701"/>
      <c r="M210" s="701"/>
      <c r="N210" s="701"/>
      <c r="O210" s="701"/>
      <c r="P210" s="723"/>
      <c r="Q210" s="702"/>
    </row>
    <row r="211" spans="1:17" ht="14.4" customHeight="1" x14ac:dyDescent="0.3">
      <c r="A211" s="696" t="s">
        <v>505</v>
      </c>
      <c r="B211" s="697" t="s">
        <v>2995</v>
      </c>
      <c r="C211" s="697" t="s">
        <v>2708</v>
      </c>
      <c r="D211" s="697" t="s">
        <v>3076</v>
      </c>
      <c r="E211" s="697" t="s">
        <v>3077</v>
      </c>
      <c r="F211" s="701"/>
      <c r="G211" s="701"/>
      <c r="H211" s="701"/>
      <c r="I211" s="701"/>
      <c r="J211" s="701">
        <v>1</v>
      </c>
      <c r="K211" s="701">
        <v>1381</v>
      </c>
      <c r="L211" s="701">
        <v>1</v>
      </c>
      <c r="M211" s="701">
        <v>1381</v>
      </c>
      <c r="N211" s="701"/>
      <c r="O211" s="701"/>
      <c r="P211" s="723"/>
      <c r="Q211" s="702"/>
    </row>
    <row r="212" spans="1:17" ht="14.4" customHeight="1" x14ac:dyDescent="0.3">
      <c r="A212" s="696" t="s">
        <v>505</v>
      </c>
      <c r="B212" s="697" t="s">
        <v>2995</v>
      </c>
      <c r="C212" s="697" t="s">
        <v>2708</v>
      </c>
      <c r="D212" s="697" t="s">
        <v>3078</v>
      </c>
      <c r="E212" s="697" t="s">
        <v>3079</v>
      </c>
      <c r="F212" s="701">
        <v>1</v>
      </c>
      <c r="G212" s="701">
        <v>1109</v>
      </c>
      <c r="H212" s="701"/>
      <c r="I212" s="701">
        <v>1109</v>
      </c>
      <c r="J212" s="701"/>
      <c r="K212" s="701"/>
      <c r="L212" s="701"/>
      <c r="M212" s="701"/>
      <c r="N212" s="701"/>
      <c r="O212" s="701"/>
      <c r="P212" s="723"/>
      <c r="Q212" s="702"/>
    </row>
    <row r="213" spans="1:17" ht="14.4" customHeight="1" x14ac:dyDescent="0.3">
      <c r="A213" s="696" t="s">
        <v>505</v>
      </c>
      <c r="B213" s="697" t="s">
        <v>2995</v>
      </c>
      <c r="C213" s="697" t="s">
        <v>2708</v>
      </c>
      <c r="D213" s="697" t="s">
        <v>3080</v>
      </c>
      <c r="E213" s="697" t="s">
        <v>3081</v>
      </c>
      <c r="F213" s="701">
        <v>1</v>
      </c>
      <c r="G213" s="701">
        <v>1238</v>
      </c>
      <c r="H213" s="701"/>
      <c r="I213" s="701">
        <v>1238</v>
      </c>
      <c r="J213" s="701"/>
      <c r="K213" s="701"/>
      <c r="L213" s="701"/>
      <c r="M213" s="701"/>
      <c r="N213" s="701"/>
      <c r="O213" s="701"/>
      <c r="P213" s="723"/>
      <c r="Q213" s="702"/>
    </row>
    <row r="214" spans="1:17" ht="14.4" customHeight="1" x14ac:dyDescent="0.3">
      <c r="A214" s="696" t="s">
        <v>505</v>
      </c>
      <c r="B214" s="697" t="s">
        <v>2995</v>
      </c>
      <c r="C214" s="697" t="s">
        <v>2708</v>
      </c>
      <c r="D214" s="697" t="s">
        <v>3082</v>
      </c>
      <c r="E214" s="697" t="s">
        <v>3083</v>
      </c>
      <c r="F214" s="701"/>
      <c r="G214" s="701"/>
      <c r="H214" s="701"/>
      <c r="I214" s="701"/>
      <c r="J214" s="701"/>
      <c r="K214" s="701"/>
      <c r="L214" s="701"/>
      <c r="M214" s="701"/>
      <c r="N214" s="701">
        <v>1</v>
      </c>
      <c r="O214" s="701">
        <v>5221</v>
      </c>
      <c r="P214" s="723"/>
      <c r="Q214" s="702">
        <v>5221</v>
      </c>
    </row>
    <row r="215" spans="1:17" ht="14.4" customHeight="1" x14ac:dyDescent="0.3">
      <c r="A215" s="696" t="s">
        <v>505</v>
      </c>
      <c r="B215" s="697" t="s">
        <v>2995</v>
      </c>
      <c r="C215" s="697" t="s">
        <v>2708</v>
      </c>
      <c r="D215" s="697" t="s">
        <v>3084</v>
      </c>
      <c r="E215" s="697" t="s">
        <v>3085</v>
      </c>
      <c r="F215" s="701">
        <v>1</v>
      </c>
      <c r="G215" s="701">
        <v>2387</v>
      </c>
      <c r="H215" s="701"/>
      <c r="I215" s="701">
        <v>2387</v>
      </c>
      <c r="J215" s="701"/>
      <c r="K215" s="701"/>
      <c r="L215" s="701"/>
      <c r="M215" s="701"/>
      <c r="N215" s="701"/>
      <c r="O215" s="701"/>
      <c r="P215" s="723"/>
      <c r="Q215" s="702"/>
    </row>
    <row r="216" spans="1:17" ht="14.4" customHeight="1" x14ac:dyDescent="0.3">
      <c r="A216" s="696" t="s">
        <v>505</v>
      </c>
      <c r="B216" s="697" t="s">
        <v>2995</v>
      </c>
      <c r="C216" s="697" t="s">
        <v>2708</v>
      </c>
      <c r="D216" s="697" t="s">
        <v>3086</v>
      </c>
      <c r="E216" s="697" t="s">
        <v>3018</v>
      </c>
      <c r="F216" s="701">
        <v>2</v>
      </c>
      <c r="G216" s="701">
        <v>1186</v>
      </c>
      <c r="H216" s="701">
        <v>2</v>
      </c>
      <c r="I216" s="701">
        <v>593</v>
      </c>
      <c r="J216" s="701">
        <v>1</v>
      </c>
      <c r="K216" s="701">
        <v>593</v>
      </c>
      <c r="L216" s="701">
        <v>1</v>
      </c>
      <c r="M216" s="701">
        <v>593</v>
      </c>
      <c r="N216" s="701"/>
      <c r="O216" s="701"/>
      <c r="P216" s="723"/>
      <c r="Q216" s="702"/>
    </row>
    <row r="217" spans="1:17" ht="14.4" customHeight="1" x14ac:dyDescent="0.3">
      <c r="A217" s="696" t="s">
        <v>505</v>
      </c>
      <c r="B217" s="697" t="s">
        <v>2995</v>
      </c>
      <c r="C217" s="697" t="s">
        <v>2708</v>
      </c>
      <c r="D217" s="697" t="s">
        <v>3087</v>
      </c>
      <c r="E217" s="697" t="s">
        <v>3088</v>
      </c>
      <c r="F217" s="701">
        <v>1</v>
      </c>
      <c r="G217" s="701">
        <v>1299</v>
      </c>
      <c r="H217" s="701"/>
      <c r="I217" s="701">
        <v>1299</v>
      </c>
      <c r="J217" s="701"/>
      <c r="K217" s="701"/>
      <c r="L217" s="701"/>
      <c r="M217" s="701"/>
      <c r="N217" s="701"/>
      <c r="O217" s="701"/>
      <c r="P217" s="723"/>
      <c r="Q217" s="702"/>
    </row>
    <row r="218" spans="1:17" ht="14.4" customHeight="1" x14ac:dyDescent="0.3">
      <c r="A218" s="696" t="s">
        <v>505</v>
      </c>
      <c r="B218" s="697" t="s">
        <v>2995</v>
      </c>
      <c r="C218" s="697" t="s">
        <v>2708</v>
      </c>
      <c r="D218" s="697" t="s">
        <v>2954</v>
      </c>
      <c r="E218" s="697" t="s">
        <v>2955</v>
      </c>
      <c r="F218" s="701"/>
      <c r="G218" s="701"/>
      <c r="H218" s="701"/>
      <c r="I218" s="701"/>
      <c r="J218" s="701"/>
      <c r="K218" s="701"/>
      <c r="L218" s="701"/>
      <c r="M218" s="701"/>
      <c r="N218" s="701">
        <v>1</v>
      </c>
      <c r="O218" s="701">
        <v>1970</v>
      </c>
      <c r="P218" s="723"/>
      <c r="Q218" s="702">
        <v>1970</v>
      </c>
    </row>
    <row r="219" spans="1:17" ht="14.4" customHeight="1" x14ac:dyDescent="0.3">
      <c r="A219" s="696" t="s">
        <v>505</v>
      </c>
      <c r="B219" s="697" t="s">
        <v>2995</v>
      </c>
      <c r="C219" s="697" t="s">
        <v>2708</v>
      </c>
      <c r="D219" s="697" t="s">
        <v>3089</v>
      </c>
      <c r="E219" s="697" t="s">
        <v>3090</v>
      </c>
      <c r="F219" s="701">
        <v>1</v>
      </c>
      <c r="G219" s="701">
        <v>3713</v>
      </c>
      <c r="H219" s="701"/>
      <c r="I219" s="701">
        <v>3713</v>
      </c>
      <c r="J219" s="701"/>
      <c r="K219" s="701"/>
      <c r="L219" s="701"/>
      <c r="M219" s="701"/>
      <c r="N219" s="701"/>
      <c r="O219" s="701"/>
      <c r="P219" s="723"/>
      <c r="Q219" s="702"/>
    </row>
    <row r="220" spans="1:17" ht="14.4" customHeight="1" x14ac:dyDescent="0.3">
      <c r="A220" s="696" t="s">
        <v>505</v>
      </c>
      <c r="B220" s="697" t="s">
        <v>2995</v>
      </c>
      <c r="C220" s="697" t="s">
        <v>2708</v>
      </c>
      <c r="D220" s="697" t="s">
        <v>3091</v>
      </c>
      <c r="E220" s="697" t="s">
        <v>3092</v>
      </c>
      <c r="F220" s="701"/>
      <c r="G220" s="701"/>
      <c r="H220" s="701"/>
      <c r="I220" s="701"/>
      <c r="J220" s="701">
        <v>1</v>
      </c>
      <c r="K220" s="701">
        <v>2720</v>
      </c>
      <c r="L220" s="701">
        <v>1</v>
      </c>
      <c r="M220" s="701">
        <v>2720</v>
      </c>
      <c r="N220" s="701"/>
      <c r="O220" s="701"/>
      <c r="P220" s="723"/>
      <c r="Q220" s="702"/>
    </row>
    <row r="221" spans="1:17" ht="14.4" customHeight="1" x14ac:dyDescent="0.3">
      <c r="A221" s="696" t="s">
        <v>505</v>
      </c>
      <c r="B221" s="697" t="s">
        <v>2995</v>
      </c>
      <c r="C221" s="697" t="s">
        <v>2708</v>
      </c>
      <c r="D221" s="697" t="s">
        <v>3093</v>
      </c>
      <c r="E221" s="697" t="s">
        <v>3094</v>
      </c>
      <c r="F221" s="701">
        <v>1</v>
      </c>
      <c r="G221" s="701">
        <v>2758</v>
      </c>
      <c r="H221" s="701"/>
      <c r="I221" s="701">
        <v>2758</v>
      </c>
      <c r="J221" s="701"/>
      <c r="K221" s="701"/>
      <c r="L221" s="701"/>
      <c r="M221" s="701"/>
      <c r="N221" s="701"/>
      <c r="O221" s="701"/>
      <c r="P221" s="723"/>
      <c r="Q221" s="702"/>
    </row>
    <row r="222" spans="1:17" ht="14.4" customHeight="1" x14ac:dyDescent="0.3">
      <c r="A222" s="696" t="s">
        <v>505</v>
      </c>
      <c r="B222" s="697" t="s">
        <v>3095</v>
      </c>
      <c r="C222" s="697" t="s">
        <v>2708</v>
      </c>
      <c r="D222" s="697" t="s">
        <v>2785</v>
      </c>
      <c r="E222" s="697" t="s">
        <v>2786</v>
      </c>
      <c r="F222" s="701"/>
      <c r="G222" s="701"/>
      <c r="H222" s="701"/>
      <c r="I222" s="701"/>
      <c r="J222" s="701">
        <v>1</v>
      </c>
      <c r="K222" s="701">
        <v>0</v>
      </c>
      <c r="L222" s="701"/>
      <c r="M222" s="701">
        <v>0</v>
      </c>
      <c r="N222" s="701"/>
      <c r="O222" s="701"/>
      <c r="P222" s="723"/>
      <c r="Q222" s="702"/>
    </row>
    <row r="223" spans="1:17" ht="14.4" customHeight="1" x14ac:dyDescent="0.3">
      <c r="A223" s="696" t="s">
        <v>505</v>
      </c>
      <c r="B223" s="697" t="s">
        <v>3095</v>
      </c>
      <c r="C223" s="697" t="s">
        <v>2708</v>
      </c>
      <c r="D223" s="697" t="s">
        <v>2827</v>
      </c>
      <c r="E223" s="697" t="s">
        <v>2829</v>
      </c>
      <c r="F223" s="701"/>
      <c r="G223" s="701"/>
      <c r="H223" s="701"/>
      <c r="I223" s="701"/>
      <c r="J223" s="701">
        <v>1</v>
      </c>
      <c r="K223" s="701">
        <v>0</v>
      </c>
      <c r="L223" s="701"/>
      <c r="M223" s="701">
        <v>0</v>
      </c>
      <c r="N223" s="701"/>
      <c r="O223" s="701"/>
      <c r="P223" s="723"/>
      <c r="Q223" s="702"/>
    </row>
    <row r="224" spans="1:17" ht="14.4" customHeight="1" x14ac:dyDescent="0.3">
      <c r="A224" s="696" t="s">
        <v>505</v>
      </c>
      <c r="B224" s="697" t="s">
        <v>3095</v>
      </c>
      <c r="C224" s="697" t="s">
        <v>2708</v>
      </c>
      <c r="D224" s="697" t="s">
        <v>2906</v>
      </c>
      <c r="E224" s="697" t="s">
        <v>2908</v>
      </c>
      <c r="F224" s="701"/>
      <c r="G224" s="701"/>
      <c r="H224" s="701"/>
      <c r="I224" s="701"/>
      <c r="J224" s="701">
        <v>1</v>
      </c>
      <c r="K224" s="701">
        <v>0</v>
      </c>
      <c r="L224" s="701"/>
      <c r="M224" s="701">
        <v>0</v>
      </c>
      <c r="N224" s="701"/>
      <c r="O224" s="701"/>
      <c r="P224" s="723"/>
      <c r="Q224" s="702"/>
    </row>
    <row r="225" spans="1:17" ht="14.4" customHeight="1" x14ac:dyDescent="0.3">
      <c r="A225" s="696" t="s">
        <v>505</v>
      </c>
      <c r="B225" s="697" t="s">
        <v>3095</v>
      </c>
      <c r="C225" s="697" t="s">
        <v>2708</v>
      </c>
      <c r="D225" s="697" t="s">
        <v>3096</v>
      </c>
      <c r="E225" s="697" t="s">
        <v>3097</v>
      </c>
      <c r="F225" s="701"/>
      <c r="G225" s="701"/>
      <c r="H225" s="701"/>
      <c r="I225" s="701"/>
      <c r="J225" s="701">
        <v>1</v>
      </c>
      <c r="K225" s="701">
        <v>0</v>
      </c>
      <c r="L225" s="701"/>
      <c r="M225" s="701">
        <v>0</v>
      </c>
      <c r="N225" s="701"/>
      <c r="O225" s="701"/>
      <c r="P225" s="723"/>
      <c r="Q225" s="702"/>
    </row>
    <row r="226" spans="1:17" ht="14.4" customHeight="1" x14ac:dyDescent="0.3">
      <c r="A226" s="696" t="s">
        <v>505</v>
      </c>
      <c r="B226" s="697" t="s">
        <v>3095</v>
      </c>
      <c r="C226" s="697" t="s">
        <v>2708</v>
      </c>
      <c r="D226" s="697" t="s">
        <v>3098</v>
      </c>
      <c r="E226" s="697" t="s">
        <v>3099</v>
      </c>
      <c r="F226" s="701"/>
      <c r="G226" s="701"/>
      <c r="H226" s="701"/>
      <c r="I226" s="701"/>
      <c r="J226" s="701">
        <v>1</v>
      </c>
      <c r="K226" s="701">
        <v>0</v>
      </c>
      <c r="L226" s="701"/>
      <c r="M226" s="701">
        <v>0</v>
      </c>
      <c r="N226" s="701"/>
      <c r="O226" s="701"/>
      <c r="P226" s="723"/>
      <c r="Q226" s="702"/>
    </row>
    <row r="227" spans="1:17" ht="14.4" customHeight="1" x14ac:dyDescent="0.3">
      <c r="A227" s="696" t="s">
        <v>505</v>
      </c>
      <c r="B227" s="697" t="s">
        <v>3095</v>
      </c>
      <c r="C227" s="697" t="s">
        <v>2708</v>
      </c>
      <c r="D227" s="697" t="s">
        <v>3100</v>
      </c>
      <c r="E227" s="697" t="s">
        <v>3101</v>
      </c>
      <c r="F227" s="701"/>
      <c r="G227" s="701"/>
      <c r="H227" s="701"/>
      <c r="I227" s="701"/>
      <c r="J227" s="701">
        <v>1</v>
      </c>
      <c r="K227" s="701">
        <v>7605</v>
      </c>
      <c r="L227" s="701">
        <v>1</v>
      </c>
      <c r="M227" s="701">
        <v>7605</v>
      </c>
      <c r="N227" s="701"/>
      <c r="O227" s="701"/>
      <c r="P227" s="723"/>
      <c r="Q227" s="702"/>
    </row>
    <row r="228" spans="1:17" ht="14.4" customHeight="1" x14ac:dyDescent="0.3">
      <c r="A228" s="696" t="s">
        <v>505</v>
      </c>
      <c r="B228" s="697" t="s">
        <v>3102</v>
      </c>
      <c r="C228" s="697" t="s">
        <v>2708</v>
      </c>
      <c r="D228" s="697" t="s">
        <v>3103</v>
      </c>
      <c r="E228" s="697" t="s">
        <v>3104</v>
      </c>
      <c r="F228" s="701"/>
      <c r="G228" s="701"/>
      <c r="H228" s="701"/>
      <c r="I228" s="701"/>
      <c r="J228" s="701">
        <v>2</v>
      </c>
      <c r="K228" s="701">
        <v>11410</v>
      </c>
      <c r="L228" s="701">
        <v>1</v>
      </c>
      <c r="M228" s="701">
        <v>5705</v>
      </c>
      <c r="N228" s="701"/>
      <c r="O228" s="701"/>
      <c r="P228" s="723"/>
      <c r="Q228" s="702"/>
    </row>
    <row r="229" spans="1:17" ht="14.4" customHeight="1" x14ac:dyDescent="0.3">
      <c r="A229" s="696" t="s">
        <v>505</v>
      </c>
      <c r="B229" s="697" t="s">
        <v>3102</v>
      </c>
      <c r="C229" s="697" t="s">
        <v>2708</v>
      </c>
      <c r="D229" s="697" t="s">
        <v>3103</v>
      </c>
      <c r="E229" s="697" t="s">
        <v>3105</v>
      </c>
      <c r="F229" s="701"/>
      <c r="G229" s="701"/>
      <c r="H229" s="701"/>
      <c r="I229" s="701"/>
      <c r="J229" s="701"/>
      <c r="K229" s="701"/>
      <c r="L229" s="701"/>
      <c r="M229" s="701"/>
      <c r="N229" s="701">
        <v>1</v>
      </c>
      <c r="O229" s="701">
        <v>5720</v>
      </c>
      <c r="P229" s="723"/>
      <c r="Q229" s="702">
        <v>5720</v>
      </c>
    </row>
    <row r="230" spans="1:17" ht="14.4" customHeight="1" x14ac:dyDescent="0.3">
      <c r="A230" s="696" t="s">
        <v>505</v>
      </c>
      <c r="B230" s="697" t="s">
        <v>3102</v>
      </c>
      <c r="C230" s="697" t="s">
        <v>2708</v>
      </c>
      <c r="D230" s="697" t="s">
        <v>3106</v>
      </c>
      <c r="E230" s="697" t="s">
        <v>3107</v>
      </c>
      <c r="F230" s="701"/>
      <c r="G230" s="701"/>
      <c r="H230" s="701"/>
      <c r="I230" s="701"/>
      <c r="J230" s="701">
        <v>1</v>
      </c>
      <c r="K230" s="701">
        <v>2348</v>
      </c>
      <c r="L230" s="701">
        <v>1</v>
      </c>
      <c r="M230" s="701">
        <v>2348</v>
      </c>
      <c r="N230" s="701"/>
      <c r="O230" s="701"/>
      <c r="P230" s="723"/>
      <c r="Q230" s="702"/>
    </row>
    <row r="231" spans="1:17" ht="14.4" customHeight="1" x14ac:dyDescent="0.3">
      <c r="A231" s="696" t="s">
        <v>505</v>
      </c>
      <c r="B231" s="697" t="s">
        <v>3102</v>
      </c>
      <c r="C231" s="697" t="s">
        <v>2708</v>
      </c>
      <c r="D231" s="697" t="s">
        <v>3108</v>
      </c>
      <c r="E231" s="697" t="s">
        <v>3109</v>
      </c>
      <c r="F231" s="701">
        <v>4</v>
      </c>
      <c r="G231" s="701">
        <v>696</v>
      </c>
      <c r="H231" s="701">
        <v>0.25</v>
      </c>
      <c r="I231" s="701">
        <v>174</v>
      </c>
      <c r="J231" s="701">
        <v>16</v>
      </c>
      <c r="K231" s="701">
        <v>2784</v>
      </c>
      <c r="L231" s="701">
        <v>1</v>
      </c>
      <c r="M231" s="701">
        <v>174</v>
      </c>
      <c r="N231" s="701">
        <v>10</v>
      </c>
      <c r="O231" s="701">
        <v>1750</v>
      </c>
      <c r="P231" s="723">
        <v>0.62859195402298851</v>
      </c>
      <c r="Q231" s="702">
        <v>175</v>
      </c>
    </row>
    <row r="232" spans="1:17" ht="14.4" customHeight="1" x14ac:dyDescent="0.3">
      <c r="A232" s="696" t="s">
        <v>505</v>
      </c>
      <c r="B232" s="697" t="s">
        <v>3102</v>
      </c>
      <c r="C232" s="697" t="s">
        <v>2708</v>
      </c>
      <c r="D232" s="697" t="s">
        <v>3110</v>
      </c>
      <c r="E232" s="697" t="s">
        <v>3111</v>
      </c>
      <c r="F232" s="701"/>
      <c r="G232" s="701"/>
      <c r="H232" s="701"/>
      <c r="I232" s="701"/>
      <c r="J232" s="701">
        <v>2</v>
      </c>
      <c r="K232" s="701">
        <v>11212</v>
      </c>
      <c r="L232" s="701">
        <v>1</v>
      </c>
      <c r="M232" s="701">
        <v>5606</v>
      </c>
      <c r="N232" s="701">
        <v>1</v>
      </c>
      <c r="O232" s="701">
        <v>5621</v>
      </c>
      <c r="P232" s="723">
        <v>0.50133785230110595</v>
      </c>
      <c r="Q232" s="702">
        <v>5621</v>
      </c>
    </row>
    <row r="233" spans="1:17" ht="14.4" customHeight="1" x14ac:dyDescent="0.3">
      <c r="A233" s="696" t="s">
        <v>505</v>
      </c>
      <c r="B233" s="697" t="s">
        <v>3102</v>
      </c>
      <c r="C233" s="697" t="s">
        <v>2708</v>
      </c>
      <c r="D233" s="697" t="s">
        <v>3112</v>
      </c>
      <c r="E233" s="697" t="s">
        <v>3113</v>
      </c>
      <c r="F233" s="701">
        <v>3</v>
      </c>
      <c r="G233" s="701">
        <v>11460</v>
      </c>
      <c r="H233" s="701">
        <v>0.59937238493723854</v>
      </c>
      <c r="I233" s="701">
        <v>3820</v>
      </c>
      <c r="J233" s="701">
        <v>5</v>
      </c>
      <c r="K233" s="701">
        <v>19120</v>
      </c>
      <c r="L233" s="701">
        <v>1</v>
      </c>
      <c r="M233" s="701">
        <v>3824</v>
      </c>
      <c r="N233" s="701">
        <v>2</v>
      </c>
      <c r="O233" s="701">
        <v>7666</v>
      </c>
      <c r="P233" s="723">
        <v>0.40094142259414228</v>
      </c>
      <c r="Q233" s="702">
        <v>3833</v>
      </c>
    </row>
    <row r="234" spans="1:17" ht="14.4" customHeight="1" x14ac:dyDescent="0.3">
      <c r="A234" s="696" t="s">
        <v>505</v>
      </c>
      <c r="B234" s="697" t="s">
        <v>3102</v>
      </c>
      <c r="C234" s="697" t="s">
        <v>2708</v>
      </c>
      <c r="D234" s="697" t="s">
        <v>3114</v>
      </c>
      <c r="E234" s="697" t="s">
        <v>3115</v>
      </c>
      <c r="F234" s="701">
        <v>1</v>
      </c>
      <c r="G234" s="701">
        <v>1592</v>
      </c>
      <c r="H234" s="701">
        <v>0.3329150982852363</v>
      </c>
      <c r="I234" s="701">
        <v>1592</v>
      </c>
      <c r="J234" s="701">
        <v>3</v>
      </c>
      <c r="K234" s="701">
        <v>4782</v>
      </c>
      <c r="L234" s="701">
        <v>1</v>
      </c>
      <c r="M234" s="701">
        <v>1594</v>
      </c>
      <c r="N234" s="701"/>
      <c r="O234" s="701"/>
      <c r="P234" s="723"/>
      <c r="Q234" s="702"/>
    </row>
    <row r="235" spans="1:17" ht="14.4" customHeight="1" x14ac:dyDescent="0.3">
      <c r="A235" s="696" t="s">
        <v>505</v>
      </c>
      <c r="B235" s="697" t="s">
        <v>3102</v>
      </c>
      <c r="C235" s="697" t="s">
        <v>2708</v>
      </c>
      <c r="D235" s="697" t="s">
        <v>3116</v>
      </c>
      <c r="E235" s="697" t="s">
        <v>3117</v>
      </c>
      <c r="F235" s="701">
        <v>1</v>
      </c>
      <c r="G235" s="701">
        <v>2865</v>
      </c>
      <c r="H235" s="701">
        <v>0.49947698744769875</v>
      </c>
      <c r="I235" s="701">
        <v>2865</v>
      </c>
      <c r="J235" s="701">
        <v>2</v>
      </c>
      <c r="K235" s="701">
        <v>5736</v>
      </c>
      <c r="L235" s="701">
        <v>1</v>
      </c>
      <c r="M235" s="701">
        <v>2868</v>
      </c>
      <c r="N235" s="701"/>
      <c r="O235" s="701"/>
      <c r="P235" s="723"/>
      <c r="Q235" s="702"/>
    </row>
    <row r="236" spans="1:17" ht="14.4" customHeight="1" x14ac:dyDescent="0.3">
      <c r="A236" s="696" t="s">
        <v>505</v>
      </c>
      <c r="B236" s="697" t="s">
        <v>3102</v>
      </c>
      <c r="C236" s="697" t="s">
        <v>2708</v>
      </c>
      <c r="D236" s="697" t="s">
        <v>3118</v>
      </c>
      <c r="E236" s="697" t="s">
        <v>3119</v>
      </c>
      <c r="F236" s="701">
        <v>1</v>
      </c>
      <c r="G236" s="701">
        <v>1189</v>
      </c>
      <c r="H236" s="701">
        <v>0.33277357962496501</v>
      </c>
      <c r="I236" s="701">
        <v>1189</v>
      </c>
      <c r="J236" s="701">
        <v>3</v>
      </c>
      <c r="K236" s="701">
        <v>3573</v>
      </c>
      <c r="L236" s="701">
        <v>1</v>
      </c>
      <c r="M236" s="701">
        <v>1191</v>
      </c>
      <c r="N236" s="701"/>
      <c r="O236" s="701"/>
      <c r="P236" s="723"/>
      <c r="Q236" s="702"/>
    </row>
    <row r="237" spans="1:17" ht="14.4" customHeight="1" x14ac:dyDescent="0.3">
      <c r="A237" s="696" t="s">
        <v>505</v>
      </c>
      <c r="B237" s="697" t="s">
        <v>3102</v>
      </c>
      <c r="C237" s="697" t="s">
        <v>2708</v>
      </c>
      <c r="D237" s="697" t="s">
        <v>3120</v>
      </c>
      <c r="E237" s="697" t="s">
        <v>3121</v>
      </c>
      <c r="F237" s="701">
        <v>1</v>
      </c>
      <c r="G237" s="701">
        <v>3979</v>
      </c>
      <c r="H237" s="701"/>
      <c r="I237" s="701">
        <v>3979</v>
      </c>
      <c r="J237" s="701"/>
      <c r="K237" s="701"/>
      <c r="L237" s="701"/>
      <c r="M237" s="701"/>
      <c r="N237" s="701">
        <v>1</v>
      </c>
      <c r="O237" s="701">
        <v>3990</v>
      </c>
      <c r="P237" s="723"/>
      <c r="Q237" s="702">
        <v>3990</v>
      </c>
    </row>
    <row r="238" spans="1:17" ht="14.4" customHeight="1" x14ac:dyDescent="0.3">
      <c r="A238" s="696" t="s">
        <v>505</v>
      </c>
      <c r="B238" s="697" t="s">
        <v>3102</v>
      </c>
      <c r="C238" s="697" t="s">
        <v>2708</v>
      </c>
      <c r="D238" s="697" t="s">
        <v>3122</v>
      </c>
      <c r="E238" s="697" t="s">
        <v>3123</v>
      </c>
      <c r="F238" s="701">
        <v>1</v>
      </c>
      <c r="G238" s="701">
        <v>5547</v>
      </c>
      <c r="H238" s="701">
        <v>0.49963970455773732</v>
      </c>
      <c r="I238" s="701">
        <v>5547</v>
      </c>
      <c r="J238" s="701">
        <v>2</v>
      </c>
      <c r="K238" s="701">
        <v>11102</v>
      </c>
      <c r="L238" s="701">
        <v>1</v>
      </c>
      <c r="M238" s="701">
        <v>5551</v>
      </c>
      <c r="N238" s="701"/>
      <c r="O238" s="701"/>
      <c r="P238" s="723"/>
      <c r="Q238" s="702"/>
    </row>
    <row r="239" spans="1:17" ht="14.4" customHeight="1" x14ac:dyDescent="0.3">
      <c r="A239" s="696" t="s">
        <v>505</v>
      </c>
      <c r="B239" s="697" t="s">
        <v>3102</v>
      </c>
      <c r="C239" s="697" t="s">
        <v>2708</v>
      </c>
      <c r="D239" s="697" t="s">
        <v>3124</v>
      </c>
      <c r="E239" s="697" t="s">
        <v>3125</v>
      </c>
      <c r="F239" s="701">
        <v>2</v>
      </c>
      <c r="G239" s="701">
        <v>2644</v>
      </c>
      <c r="H239" s="701">
        <v>0.33282980866062439</v>
      </c>
      <c r="I239" s="701">
        <v>1322</v>
      </c>
      <c r="J239" s="701">
        <v>6</v>
      </c>
      <c r="K239" s="701">
        <v>7944</v>
      </c>
      <c r="L239" s="701">
        <v>1</v>
      </c>
      <c r="M239" s="701">
        <v>1324</v>
      </c>
      <c r="N239" s="701">
        <v>3</v>
      </c>
      <c r="O239" s="701">
        <v>3981</v>
      </c>
      <c r="P239" s="723">
        <v>0.5011329305135952</v>
      </c>
      <c r="Q239" s="702">
        <v>1327</v>
      </c>
    </row>
    <row r="240" spans="1:17" ht="14.4" customHeight="1" x14ac:dyDescent="0.3">
      <c r="A240" s="696" t="s">
        <v>505</v>
      </c>
      <c r="B240" s="697" t="s">
        <v>3102</v>
      </c>
      <c r="C240" s="697" t="s">
        <v>2708</v>
      </c>
      <c r="D240" s="697" t="s">
        <v>3126</v>
      </c>
      <c r="E240" s="697" t="s">
        <v>3127</v>
      </c>
      <c r="F240" s="701">
        <v>2</v>
      </c>
      <c r="G240" s="701">
        <v>950</v>
      </c>
      <c r="H240" s="701">
        <v>0.3326330532212885</v>
      </c>
      <c r="I240" s="701">
        <v>475</v>
      </c>
      <c r="J240" s="701">
        <v>6</v>
      </c>
      <c r="K240" s="701">
        <v>2856</v>
      </c>
      <c r="L240" s="701">
        <v>1</v>
      </c>
      <c r="M240" s="701">
        <v>476</v>
      </c>
      <c r="N240" s="701"/>
      <c r="O240" s="701"/>
      <c r="P240" s="723"/>
      <c r="Q240" s="702"/>
    </row>
    <row r="241" spans="1:17" ht="14.4" customHeight="1" x14ac:dyDescent="0.3">
      <c r="A241" s="696" t="s">
        <v>505</v>
      </c>
      <c r="B241" s="697" t="s">
        <v>3102</v>
      </c>
      <c r="C241" s="697" t="s">
        <v>2708</v>
      </c>
      <c r="D241" s="697" t="s">
        <v>3128</v>
      </c>
      <c r="E241" s="697" t="s">
        <v>3129</v>
      </c>
      <c r="F241" s="701"/>
      <c r="G241" s="701"/>
      <c r="H241" s="701"/>
      <c r="I241" s="701"/>
      <c r="J241" s="701"/>
      <c r="K241" s="701"/>
      <c r="L241" s="701"/>
      <c r="M241" s="701"/>
      <c r="N241" s="701">
        <v>1</v>
      </c>
      <c r="O241" s="701">
        <v>4611</v>
      </c>
      <c r="P241" s="723"/>
      <c r="Q241" s="702">
        <v>4611</v>
      </c>
    </row>
    <row r="242" spans="1:17" ht="14.4" customHeight="1" x14ac:dyDescent="0.3">
      <c r="A242" s="696" t="s">
        <v>505</v>
      </c>
      <c r="B242" s="697" t="s">
        <v>3102</v>
      </c>
      <c r="C242" s="697" t="s">
        <v>2708</v>
      </c>
      <c r="D242" s="697" t="s">
        <v>3130</v>
      </c>
      <c r="E242" s="697" t="s">
        <v>3131</v>
      </c>
      <c r="F242" s="701"/>
      <c r="G242" s="701"/>
      <c r="H242" s="701"/>
      <c r="I242" s="701"/>
      <c r="J242" s="701">
        <v>2</v>
      </c>
      <c r="K242" s="701">
        <v>8228</v>
      </c>
      <c r="L242" s="701">
        <v>1</v>
      </c>
      <c r="M242" s="701">
        <v>4114</v>
      </c>
      <c r="N242" s="701">
        <v>1</v>
      </c>
      <c r="O242" s="701">
        <v>4120</v>
      </c>
      <c r="P242" s="723">
        <v>0.50072921730675746</v>
      </c>
      <c r="Q242" s="702">
        <v>4120</v>
      </c>
    </row>
    <row r="243" spans="1:17" ht="14.4" customHeight="1" x14ac:dyDescent="0.3">
      <c r="A243" s="696" t="s">
        <v>505</v>
      </c>
      <c r="B243" s="697" t="s">
        <v>3102</v>
      </c>
      <c r="C243" s="697" t="s">
        <v>2708</v>
      </c>
      <c r="D243" s="697" t="s">
        <v>3132</v>
      </c>
      <c r="E243" s="697" t="s">
        <v>3133</v>
      </c>
      <c r="F243" s="701">
        <v>2</v>
      </c>
      <c r="G243" s="701">
        <v>714</v>
      </c>
      <c r="H243" s="701"/>
      <c r="I243" s="701">
        <v>357</v>
      </c>
      <c r="J243" s="701"/>
      <c r="K243" s="701"/>
      <c r="L243" s="701"/>
      <c r="M243" s="701"/>
      <c r="N243" s="701">
        <v>3</v>
      </c>
      <c r="O243" s="701">
        <v>1077</v>
      </c>
      <c r="P243" s="723"/>
      <c r="Q243" s="702">
        <v>359</v>
      </c>
    </row>
    <row r="244" spans="1:17" ht="14.4" customHeight="1" x14ac:dyDescent="0.3">
      <c r="A244" s="696" t="s">
        <v>505</v>
      </c>
      <c r="B244" s="697" t="s">
        <v>3102</v>
      </c>
      <c r="C244" s="697" t="s">
        <v>2708</v>
      </c>
      <c r="D244" s="697" t="s">
        <v>3134</v>
      </c>
      <c r="E244" s="697" t="s">
        <v>3135</v>
      </c>
      <c r="F244" s="701"/>
      <c r="G244" s="701"/>
      <c r="H244" s="701"/>
      <c r="I244" s="701"/>
      <c r="J244" s="701">
        <v>1</v>
      </c>
      <c r="K244" s="701">
        <v>12901</v>
      </c>
      <c r="L244" s="701">
        <v>1</v>
      </c>
      <c r="M244" s="701">
        <v>12901</v>
      </c>
      <c r="N244" s="701"/>
      <c r="O244" s="701"/>
      <c r="P244" s="723"/>
      <c r="Q244" s="702"/>
    </row>
    <row r="245" spans="1:17" ht="14.4" customHeight="1" x14ac:dyDescent="0.3">
      <c r="A245" s="696" t="s">
        <v>505</v>
      </c>
      <c r="B245" s="697" t="s">
        <v>3102</v>
      </c>
      <c r="C245" s="697" t="s">
        <v>2708</v>
      </c>
      <c r="D245" s="697" t="s">
        <v>3136</v>
      </c>
      <c r="E245" s="697" t="s">
        <v>3137</v>
      </c>
      <c r="F245" s="701">
        <v>1</v>
      </c>
      <c r="G245" s="701">
        <v>2492</v>
      </c>
      <c r="H245" s="701"/>
      <c r="I245" s="701">
        <v>2492</v>
      </c>
      <c r="J245" s="701"/>
      <c r="K245" s="701"/>
      <c r="L245" s="701"/>
      <c r="M245" s="701"/>
      <c r="N245" s="701">
        <v>1</v>
      </c>
      <c r="O245" s="701">
        <v>2502</v>
      </c>
      <c r="P245" s="723"/>
      <c r="Q245" s="702">
        <v>2502</v>
      </c>
    </row>
    <row r="246" spans="1:17" ht="14.4" customHeight="1" x14ac:dyDescent="0.3">
      <c r="A246" s="696" t="s">
        <v>505</v>
      </c>
      <c r="B246" s="697" t="s">
        <v>3102</v>
      </c>
      <c r="C246" s="697" t="s">
        <v>2708</v>
      </c>
      <c r="D246" s="697" t="s">
        <v>3138</v>
      </c>
      <c r="E246" s="697" t="s">
        <v>3139</v>
      </c>
      <c r="F246" s="701">
        <v>1</v>
      </c>
      <c r="G246" s="701">
        <v>713</v>
      </c>
      <c r="H246" s="701"/>
      <c r="I246" s="701">
        <v>713</v>
      </c>
      <c r="J246" s="701"/>
      <c r="K246" s="701"/>
      <c r="L246" s="701"/>
      <c r="M246" s="701"/>
      <c r="N246" s="701"/>
      <c r="O246" s="701"/>
      <c r="P246" s="723"/>
      <c r="Q246" s="702"/>
    </row>
    <row r="247" spans="1:17" ht="14.4" customHeight="1" x14ac:dyDescent="0.3">
      <c r="A247" s="696" t="s">
        <v>505</v>
      </c>
      <c r="B247" s="697" t="s">
        <v>3102</v>
      </c>
      <c r="C247" s="697" t="s">
        <v>2708</v>
      </c>
      <c r="D247" s="697" t="s">
        <v>3140</v>
      </c>
      <c r="E247" s="697" t="s">
        <v>3141</v>
      </c>
      <c r="F247" s="701"/>
      <c r="G247" s="701"/>
      <c r="H247" s="701"/>
      <c r="I247" s="701"/>
      <c r="J247" s="701"/>
      <c r="K247" s="701"/>
      <c r="L247" s="701"/>
      <c r="M247" s="701"/>
      <c r="N247" s="701">
        <v>1</v>
      </c>
      <c r="O247" s="701">
        <v>1449</v>
      </c>
      <c r="P247" s="723"/>
      <c r="Q247" s="702">
        <v>1449</v>
      </c>
    </row>
    <row r="248" spans="1:17" ht="14.4" customHeight="1" x14ac:dyDescent="0.3">
      <c r="A248" s="696" t="s">
        <v>505</v>
      </c>
      <c r="B248" s="697" t="s">
        <v>3102</v>
      </c>
      <c r="C248" s="697" t="s">
        <v>2708</v>
      </c>
      <c r="D248" s="697" t="s">
        <v>3142</v>
      </c>
      <c r="E248" s="697" t="s">
        <v>3143</v>
      </c>
      <c r="F248" s="701"/>
      <c r="G248" s="701"/>
      <c r="H248" s="701"/>
      <c r="I248" s="701"/>
      <c r="J248" s="701">
        <v>2</v>
      </c>
      <c r="K248" s="701">
        <v>9218</v>
      </c>
      <c r="L248" s="701">
        <v>1</v>
      </c>
      <c r="M248" s="701">
        <v>4609</v>
      </c>
      <c r="N248" s="701"/>
      <c r="O248" s="701"/>
      <c r="P248" s="723"/>
      <c r="Q248" s="702"/>
    </row>
    <row r="249" spans="1:17" ht="14.4" customHeight="1" x14ac:dyDescent="0.3">
      <c r="A249" s="696" t="s">
        <v>505</v>
      </c>
      <c r="B249" s="697" t="s">
        <v>3102</v>
      </c>
      <c r="C249" s="697" t="s">
        <v>2708</v>
      </c>
      <c r="D249" s="697" t="s">
        <v>3142</v>
      </c>
      <c r="E249" s="697" t="s">
        <v>3144</v>
      </c>
      <c r="F249" s="701"/>
      <c r="G249" s="701"/>
      <c r="H249" s="701"/>
      <c r="I249" s="701"/>
      <c r="J249" s="701"/>
      <c r="K249" s="701"/>
      <c r="L249" s="701"/>
      <c r="M249" s="701"/>
      <c r="N249" s="701">
        <v>1</v>
      </c>
      <c r="O249" s="701">
        <v>4620</v>
      </c>
      <c r="P249" s="723"/>
      <c r="Q249" s="702">
        <v>4620</v>
      </c>
    </row>
    <row r="250" spans="1:17" ht="14.4" customHeight="1" x14ac:dyDescent="0.3">
      <c r="A250" s="696" t="s">
        <v>505</v>
      </c>
      <c r="B250" s="697" t="s">
        <v>2707</v>
      </c>
      <c r="C250" s="697" t="s">
        <v>3145</v>
      </c>
      <c r="D250" s="697" t="s">
        <v>3146</v>
      </c>
      <c r="E250" s="697" t="s">
        <v>1400</v>
      </c>
      <c r="F250" s="701">
        <v>1</v>
      </c>
      <c r="G250" s="701">
        <v>11293.82</v>
      </c>
      <c r="H250" s="701">
        <v>0.34484451673517963</v>
      </c>
      <c r="I250" s="701">
        <v>11293.82</v>
      </c>
      <c r="J250" s="701">
        <v>3.5999999999999996</v>
      </c>
      <c r="K250" s="701">
        <v>32750.470000000005</v>
      </c>
      <c r="L250" s="701">
        <v>1</v>
      </c>
      <c r="M250" s="701">
        <v>9097.3527777777799</v>
      </c>
      <c r="N250" s="701">
        <v>7.4999999999999991</v>
      </c>
      <c r="O250" s="701">
        <v>25844.489999999998</v>
      </c>
      <c r="P250" s="723">
        <v>0.78913340785643671</v>
      </c>
      <c r="Q250" s="702">
        <v>3445.9320000000002</v>
      </c>
    </row>
    <row r="251" spans="1:17" ht="14.4" customHeight="1" x14ac:dyDescent="0.3">
      <c r="A251" s="696" t="s">
        <v>505</v>
      </c>
      <c r="B251" s="697" t="s">
        <v>2707</v>
      </c>
      <c r="C251" s="697" t="s">
        <v>3145</v>
      </c>
      <c r="D251" s="697" t="s">
        <v>3147</v>
      </c>
      <c r="E251" s="697"/>
      <c r="F251" s="701">
        <v>34</v>
      </c>
      <c r="G251" s="701">
        <v>1697.6200000000001</v>
      </c>
      <c r="H251" s="701"/>
      <c r="I251" s="701">
        <v>49.930000000000007</v>
      </c>
      <c r="J251" s="701"/>
      <c r="K251" s="701"/>
      <c r="L251" s="701"/>
      <c r="M251" s="701"/>
      <c r="N251" s="701"/>
      <c r="O251" s="701"/>
      <c r="P251" s="723"/>
      <c r="Q251" s="702"/>
    </row>
    <row r="252" spans="1:17" ht="14.4" customHeight="1" x14ac:dyDescent="0.3">
      <c r="A252" s="696" t="s">
        <v>505</v>
      </c>
      <c r="B252" s="697" t="s">
        <v>2707</v>
      </c>
      <c r="C252" s="697" t="s">
        <v>3145</v>
      </c>
      <c r="D252" s="697" t="s">
        <v>3148</v>
      </c>
      <c r="E252" s="697" t="s">
        <v>3149</v>
      </c>
      <c r="F252" s="701">
        <v>7</v>
      </c>
      <c r="G252" s="701">
        <v>6039.39</v>
      </c>
      <c r="H252" s="701"/>
      <c r="I252" s="701">
        <v>862.7700000000001</v>
      </c>
      <c r="J252" s="701"/>
      <c r="K252" s="701"/>
      <c r="L252" s="701"/>
      <c r="M252" s="701"/>
      <c r="N252" s="701"/>
      <c r="O252" s="701"/>
      <c r="P252" s="723"/>
      <c r="Q252" s="702"/>
    </row>
    <row r="253" spans="1:17" ht="14.4" customHeight="1" x14ac:dyDescent="0.3">
      <c r="A253" s="696" t="s">
        <v>505</v>
      </c>
      <c r="B253" s="697" t="s">
        <v>2707</v>
      </c>
      <c r="C253" s="697" t="s">
        <v>3145</v>
      </c>
      <c r="D253" s="697" t="s">
        <v>3150</v>
      </c>
      <c r="E253" s="697" t="s">
        <v>1299</v>
      </c>
      <c r="F253" s="701">
        <v>84</v>
      </c>
      <c r="G253" s="701">
        <v>419001.76</v>
      </c>
      <c r="H253" s="701">
        <v>1.8260908144705628</v>
      </c>
      <c r="I253" s="701">
        <v>4988.1161904761902</v>
      </c>
      <c r="J253" s="701">
        <v>46</v>
      </c>
      <c r="K253" s="701">
        <v>229452.86</v>
      </c>
      <c r="L253" s="701">
        <v>1</v>
      </c>
      <c r="M253" s="701">
        <v>4988.1056521739129</v>
      </c>
      <c r="N253" s="701">
        <v>32</v>
      </c>
      <c r="O253" s="701">
        <v>163632.4</v>
      </c>
      <c r="P253" s="723">
        <v>0.71314168844964498</v>
      </c>
      <c r="Q253" s="702">
        <v>5113.5124999999998</v>
      </c>
    </row>
    <row r="254" spans="1:17" ht="14.4" customHeight="1" x14ac:dyDescent="0.3">
      <c r="A254" s="696" t="s">
        <v>505</v>
      </c>
      <c r="B254" s="697" t="s">
        <v>2707</v>
      </c>
      <c r="C254" s="697" t="s">
        <v>3145</v>
      </c>
      <c r="D254" s="697" t="s">
        <v>3151</v>
      </c>
      <c r="E254" s="697" t="s">
        <v>1688</v>
      </c>
      <c r="F254" s="701"/>
      <c r="G254" s="701"/>
      <c r="H254" s="701"/>
      <c r="I254" s="701"/>
      <c r="J254" s="701"/>
      <c r="K254" s="701"/>
      <c r="L254" s="701"/>
      <c r="M254" s="701"/>
      <c r="N254" s="701">
        <v>87.600000000000009</v>
      </c>
      <c r="O254" s="701">
        <v>33115.03</v>
      </c>
      <c r="P254" s="723"/>
      <c r="Q254" s="702">
        <v>378.02545662100454</v>
      </c>
    </row>
    <row r="255" spans="1:17" ht="14.4" customHeight="1" x14ac:dyDescent="0.3">
      <c r="A255" s="696" t="s">
        <v>505</v>
      </c>
      <c r="B255" s="697" t="s">
        <v>2707</v>
      </c>
      <c r="C255" s="697" t="s">
        <v>3145</v>
      </c>
      <c r="D255" s="697" t="s">
        <v>3152</v>
      </c>
      <c r="E255" s="697"/>
      <c r="F255" s="701">
        <v>21</v>
      </c>
      <c r="G255" s="701">
        <v>1689.0299999999997</v>
      </c>
      <c r="H255" s="701"/>
      <c r="I255" s="701">
        <v>80.429999999999993</v>
      </c>
      <c r="J255" s="701"/>
      <c r="K255" s="701"/>
      <c r="L255" s="701"/>
      <c r="M255" s="701"/>
      <c r="N255" s="701"/>
      <c r="O255" s="701"/>
      <c r="P255" s="723"/>
      <c r="Q255" s="702"/>
    </row>
    <row r="256" spans="1:17" ht="14.4" customHeight="1" x14ac:dyDescent="0.3">
      <c r="A256" s="696" t="s">
        <v>505</v>
      </c>
      <c r="B256" s="697" t="s">
        <v>2707</v>
      </c>
      <c r="C256" s="697" t="s">
        <v>3145</v>
      </c>
      <c r="D256" s="697" t="s">
        <v>3153</v>
      </c>
      <c r="E256" s="697" t="s">
        <v>3154</v>
      </c>
      <c r="F256" s="701">
        <v>2</v>
      </c>
      <c r="G256" s="701">
        <v>1380.92</v>
      </c>
      <c r="H256" s="701">
        <v>0.15384615384615385</v>
      </c>
      <c r="I256" s="701">
        <v>690.46</v>
      </c>
      <c r="J256" s="701">
        <v>13</v>
      </c>
      <c r="K256" s="701">
        <v>8975.98</v>
      </c>
      <c r="L256" s="701">
        <v>1</v>
      </c>
      <c r="M256" s="701">
        <v>690.45999999999992</v>
      </c>
      <c r="N256" s="701"/>
      <c r="O256" s="701"/>
      <c r="P256" s="723"/>
      <c r="Q256" s="702"/>
    </row>
    <row r="257" spans="1:17" ht="14.4" customHeight="1" x14ac:dyDescent="0.3">
      <c r="A257" s="696" t="s">
        <v>505</v>
      </c>
      <c r="B257" s="697" t="s">
        <v>2707</v>
      </c>
      <c r="C257" s="697" t="s">
        <v>3145</v>
      </c>
      <c r="D257" s="697" t="s">
        <v>3155</v>
      </c>
      <c r="E257" s="697" t="s">
        <v>1392</v>
      </c>
      <c r="F257" s="701">
        <v>500</v>
      </c>
      <c r="G257" s="701">
        <v>29200.000000000004</v>
      </c>
      <c r="H257" s="701">
        <v>1.0917030567685591</v>
      </c>
      <c r="I257" s="701">
        <v>58.400000000000006</v>
      </c>
      <c r="J257" s="701">
        <v>458</v>
      </c>
      <c r="K257" s="701">
        <v>26747.200000000001</v>
      </c>
      <c r="L257" s="701">
        <v>1</v>
      </c>
      <c r="M257" s="701">
        <v>58.4</v>
      </c>
      <c r="N257" s="701">
        <v>654</v>
      </c>
      <c r="O257" s="701">
        <v>24879.510000000002</v>
      </c>
      <c r="P257" s="723">
        <v>0.93017250403780583</v>
      </c>
      <c r="Q257" s="702">
        <v>38.042064220183491</v>
      </c>
    </row>
    <row r="258" spans="1:17" ht="14.4" customHeight="1" x14ac:dyDescent="0.3">
      <c r="A258" s="696" t="s">
        <v>505</v>
      </c>
      <c r="B258" s="697" t="s">
        <v>2707</v>
      </c>
      <c r="C258" s="697" t="s">
        <v>3145</v>
      </c>
      <c r="D258" s="697" t="s">
        <v>3156</v>
      </c>
      <c r="E258" s="697" t="s">
        <v>3157</v>
      </c>
      <c r="F258" s="701">
        <v>6</v>
      </c>
      <c r="G258" s="701">
        <v>635.76</v>
      </c>
      <c r="H258" s="701">
        <v>0.75</v>
      </c>
      <c r="I258" s="701">
        <v>105.96</v>
      </c>
      <c r="J258" s="701">
        <v>8</v>
      </c>
      <c r="K258" s="701">
        <v>847.68</v>
      </c>
      <c r="L258" s="701">
        <v>1</v>
      </c>
      <c r="M258" s="701">
        <v>105.96</v>
      </c>
      <c r="N258" s="701"/>
      <c r="O258" s="701"/>
      <c r="P258" s="723"/>
      <c r="Q258" s="702"/>
    </row>
    <row r="259" spans="1:17" ht="14.4" customHeight="1" x14ac:dyDescent="0.3">
      <c r="A259" s="696" t="s">
        <v>505</v>
      </c>
      <c r="B259" s="697" t="s">
        <v>2707</v>
      </c>
      <c r="C259" s="697" t="s">
        <v>3145</v>
      </c>
      <c r="D259" s="697" t="s">
        <v>3158</v>
      </c>
      <c r="E259" s="697" t="s">
        <v>3159</v>
      </c>
      <c r="F259" s="701">
        <v>35.700000000000003</v>
      </c>
      <c r="G259" s="701">
        <v>24713.200000000001</v>
      </c>
      <c r="H259" s="701">
        <v>0.85714127160957987</v>
      </c>
      <c r="I259" s="701">
        <v>692.24649859943975</v>
      </c>
      <c r="J259" s="701">
        <v>41.649999999999991</v>
      </c>
      <c r="K259" s="701">
        <v>28832.120000000003</v>
      </c>
      <c r="L259" s="701">
        <v>1</v>
      </c>
      <c r="M259" s="701">
        <v>692.24777911164483</v>
      </c>
      <c r="N259" s="701">
        <v>26.799999999999997</v>
      </c>
      <c r="O259" s="701">
        <v>16888.98</v>
      </c>
      <c r="P259" s="723">
        <v>0.58576962082566242</v>
      </c>
      <c r="Q259" s="702">
        <v>630.1858208955224</v>
      </c>
    </row>
    <row r="260" spans="1:17" ht="14.4" customHeight="1" x14ac:dyDescent="0.3">
      <c r="A260" s="696" t="s">
        <v>505</v>
      </c>
      <c r="B260" s="697" t="s">
        <v>2707</v>
      </c>
      <c r="C260" s="697" t="s">
        <v>3145</v>
      </c>
      <c r="D260" s="697" t="s">
        <v>3160</v>
      </c>
      <c r="E260" s="697" t="s">
        <v>1297</v>
      </c>
      <c r="F260" s="701">
        <v>2</v>
      </c>
      <c r="G260" s="701">
        <v>24754.86</v>
      </c>
      <c r="H260" s="701">
        <v>2</v>
      </c>
      <c r="I260" s="701">
        <v>12377.43</v>
      </c>
      <c r="J260" s="701">
        <v>1</v>
      </c>
      <c r="K260" s="701">
        <v>12377.43</v>
      </c>
      <c r="L260" s="701">
        <v>1</v>
      </c>
      <c r="M260" s="701">
        <v>12377.43</v>
      </c>
      <c r="N260" s="701">
        <v>6</v>
      </c>
      <c r="O260" s="701">
        <v>74264.58</v>
      </c>
      <c r="P260" s="723">
        <v>6</v>
      </c>
      <c r="Q260" s="702">
        <v>12377.43</v>
      </c>
    </row>
    <row r="261" spans="1:17" ht="14.4" customHeight="1" x14ac:dyDescent="0.3">
      <c r="A261" s="696" t="s">
        <v>505</v>
      </c>
      <c r="B261" s="697" t="s">
        <v>2707</v>
      </c>
      <c r="C261" s="697" t="s">
        <v>3145</v>
      </c>
      <c r="D261" s="697" t="s">
        <v>3161</v>
      </c>
      <c r="E261" s="697" t="s">
        <v>1642</v>
      </c>
      <c r="F261" s="701">
        <v>51.3</v>
      </c>
      <c r="G261" s="701">
        <v>616287.41999999993</v>
      </c>
      <c r="H261" s="701">
        <v>0.6203143893591293</v>
      </c>
      <c r="I261" s="701">
        <v>12013.4</v>
      </c>
      <c r="J261" s="701">
        <v>82.7</v>
      </c>
      <c r="K261" s="701">
        <v>993508.17999999993</v>
      </c>
      <c r="L261" s="701">
        <v>1</v>
      </c>
      <c r="M261" s="701">
        <v>12013.4</v>
      </c>
      <c r="N261" s="701">
        <v>83.3</v>
      </c>
      <c r="O261" s="701">
        <v>957596.9</v>
      </c>
      <c r="P261" s="723">
        <v>0.96385406710994581</v>
      </c>
      <c r="Q261" s="702">
        <v>11495.761104441777</v>
      </c>
    </row>
    <row r="262" spans="1:17" ht="14.4" customHeight="1" x14ac:dyDescent="0.3">
      <c r="A262" s="696" t="s">
        <v>505</v>
      </c>
      <c r="B262" s="697" t="s">
        <v>2707</v>
      </c>
      <c r="C262" s="697" t="s">
        <v>3145</v>
      </c>
      <c r="D262" s="697" t="s">
        <v>3162</v>
      </c>
      <c r="E262" s="697" t="s">
        <v>3163</v>
      </c>
      <c r="F262" s="701">
        <v>205</v>
      </c>
      <c r="G262" s="701">
        <v>686776.64</v>
      </c>
      <c r="H262" s="701"/>
      <c r="I262" s="701">
        <v>3350.1299512195123</v>
      </c>
      <c r="J262" s="701"/>
      <c r="K262" s="701"/>
      <c r="L262" s="701"/>
      <c r="M262" s="701"/>
      <c r="N262" s="701"/>
      <c r="O262" s="701"/>
      <c r="P262" s="723"/>
      <c r="Q262" s="702"/>
    </row>
    <row r="263" spans="1:17" ht="14.4" customHeight="1" x14ac:dyDescent="0.3">
      <c r="A263" s="696" t="s">
        <v>505</v>
      </c>
      <c r="B263" s="697" t="s">
        <v>2707</v>
      </c>
      <c r="C263" s="697" t="s">
        <v>3145</v>
      </c>
      <c r="D263" s="697" t="s">
        <v>3164</v>
      </c>
      <c r="E263" s="697" t="s">
        <v>3165</v>
      </c>
      <c r="F263" s="701">
        <v>1</v>
      </c>
      <c r="G263" s="701">
        <v>5710.43</v>
      </c>
      <c r="H263" s="701"/>
      <c r="I263" s="701">
        <v>5710.43</v>
      </c>
      <c r="J263" s="701"/>
      <c r="K263" s="701"/>
      <c r="L263" s="701"/>
      <c r="M263" s="701"/>
      <c r="N263" s="701"/>
      <c r="O263" s="701"/>
      <c r="P263" s="723"/>
      <c r="Q263" s="702"/>
    </row>
    <row r="264" spans="1:17" ht="14.4" customHeight="1" x14ac:dyDescent="0.3">
      <c r="A264" s="696" t="s">
        <v>505</v>
      </c>
      <c r="B264" s="697" t="s">
        <v>2707</v>
      </c>
      <c r="C264" s="697" t="s">
        <v>3145</v>
      </c>
      <c r="D264" s="697" t="s">
        <v>3166</v>
      </c>
      <c r="E264" s="697" t="s">
        <v>3165</v>
      </c>
      <c r="F264" s="701">
        <v>4</v>
      </c>
      <c r="G264" s="701">
        <v>45683.48</v>
      </c>
      <c r="H264" s="701"/>
      <c r="I264" s="701">
        <v>11420.87</v>
      </c>
      <c r="J264" s="701"/>
      <c r="K264" s="701"/>
      <c r="L264" s="701"/>
      <c r="M264" s="701"/>
      <c r="N264" s="701"/>
      <c r="O264" s="701"/>
      <c r="P264" s="723"/>
      <c r="Q264" s="702"/>
    </row>
    <row r="265" spans="1:17" ht="14.4" customHeight="1" x14ac:dyDescent="0.3">
      <c r="A265" s="696" t="s">
        <v>505</v>
      </c>
      <c r="B265" s="697" t="s">
        <v>2707</v>
      </c>
      <c r="C265" s="697" t="s">
        <v>3145</v>
      </c>
      <c r="D265" s="697" t="s">
        <v>3167</v>
      </c>
      <c r="E265" s="697" t="s">
        <v>3168</v>
      </c>
      <c r="F265" s="701"/>
      <c r="G265" s="701"/>
      <c r="H265" s="701"/>
      <c r="I265" s="701"/>
      <c r="J265" s="701">
        <v>0.7</v>
      </c>
      <c r="K265" s="701">
        <v>3460.76</v>
      </c>
      <c r="L265" s="701">
        <v>1</v>
      </c>
      <c r="M265" s="701">
        <v>4943.942857142858</v>
      </c>
      <c r="N265" s="701"/>
      <c r="O265" s="701"/>
      <c r="P265" s="723"/>
      <c r="Q265" s="702"/>
    </row>
    <row r="266" spans="1:17" ht="14.4" customHeight="1" x14ac:dyDescent="0.3">
      <c r="A266" s="696" t="s">
        <v>505</v>
      </c>
      <c r="B266" s="697" t="s">
        <v>2707</v>
      </c>
      <c r="C266" s="697" t="s">
        <v>3145</v>
      </c>
      <c r="D266" s="697" t="s">
        <v>3167</v>
      </c>
      <c r="E266" s="697" t="s">
        <v>3169</v>
      </c>
      <c r="F266" s="701">
        <v>0.7</v>
      </c>
      <c r="G266" s="701">
        <v>3460.7599999999998</v>
      </c>
      <c r="H266" s="701">
        <v>0.70000040453565371</v>
      </c>
      <c r="I266" s="701">
        <v>4943.9428571428571</v>
      </c>
      <c r="J266" s="701">
        <v>1</v>
      </c>
      <c r="K266" s="701">
        <v>4943.9399999999996</v>
      </c>
      <c r="L266" s="701">
        <v>1</v>
      </c>
      <c r="M266" s="701">
        <v>4943.9399999999996</v>
      </c>
      <c r="N266" s="701"/>
      <c r="O266" s="701"/>
      <c r="P266" s="723"/>
      <c r="Q266" s="702"/>
    </row>
    <row r="267" spans="1:17" ht="14.4" customHeight="1" x14ac:dyDescent="0.3">
      <c r="A267" s="696" t="s">
        <v>505</v>
      </c>
      <c r="B267" s="697" t="s">
        <v>2707</v>
      </c>
      <c r="C267" s="697" t="s">
        <v>3145</v>
      </c>
      <c r="D267" s="697" t="s">
        <v>3170</v>
      </c>
      <c r="E267" s="697"/>
      <c r="F267" s="701">
        <v>2</v>
      </c>
      <c r="G267" s="701">
        <v>77.22</v>
      </c>
      <c r="H267" s="701"/>
      <c r="I267" s="701">
        <v>38.61</v>
      </c>
      <c r="J267" s="701"/>
      <c r="K267" s="701"/>
      <c r="L267" s="701"/>
      <c r="M267" s="701"/>
      <c r="N267" s="701"/>
      <c r="O267" s="701"/>
      <c r="P267" s="723"/>
      <c r="Q267" s="702"/>
    </row>
    <row r="268" spans="1:17" ht="14.4" customHeight="1" x14ac:dyDescent="0.3">
      <c r="A268" s="696" t="s">
        <v>505</v>
      </c>
      <c r="B268" s="697" t="s">
        <v>2707</v>
      </c>
      <c r="C268" s="697" t="s">
        <v>3145</v>
      </c>
      <c r="D268" s="697" t="s">
        <v>3171</v>
      </c>
      <c r="E268" s="697" t="s">
        <v>3172</v>
      </c>
      <c r="F268" s="701">
        <v>0.1</v>
      </c>
      <c r="G268" s="701">
        <v>38.659999999999997</v>
      </c>
      <c r="H268" s="701"/>
      <c r="I268" s="701">
        <v>386.59999999999997</v>
      </c>
      <c r="J268" s="701"/>
      <c r="K268" s="701"/>
      <c r="L268" s="701"/>
      <c r="M268" s="701"/>
      <c r="N268" s="701"/>
      <c r="O268" s="701"/>
      <c r="P268" s="723"/>
      <c r="Q268" s="702"/>
    </row>
    <row r="269" spans="1:17" ht="14.4" customHeight="1" x14ac:dyDescent="0.3">
      <c r="A269" s="696" t="s">
        <v>505</v>
      </c>
      <c r="B269" s="697" t="s">
        <v>2707</v>
      </c>
      <c r="C269" s="697" t="s">
        <v>3145</v>
      </c>
      <c r="D269" s="697" t="s">
        <v>3173</v>
      </c>
      <c r="E269" s="697" t="s">
        <v>1294</v>
      </c>
      <c r="F269" s="701">
        <v>169</v>
      </c>
      <c r="G269" s="701">
        <v>1456901.8800000001</v>
      </c>
      <c r="H269" s="701">
        <v>2.0690220255766243</v>
      </c>
      <c r="I269" s="701">
        <v>8620.7211834319532</v>
      </c>
      <c r="J269" s="701">
        <v>77</v>
      </c>
      <c r="K269" s="701">
        <v>704150.01</v>
      </c>
      <c r="L269" s="701">
        <v>1</v>
      </c>
      <c r="M269" s="701">
        <v>9144.8053246753243</v>
      </c>
      <c r="N269" s="701">
        <v>62</v>
      </c>
      <c r="O269" s="701">
        <v>567812.74</v>
      </c>
      <c r="P269" s="723">
        <v>0.80638036204813801</v>
      </c>
      <c r="Q269" s="702">
        <v>9158.27</v>
      </c>
    </row>
    <row r="270" spans="1:17" ht="14.4" customHeight="1" x14ac:dyDescent="0.3">
      <c r="A270" s="696" t="s">
        <v>505</v>
      </c>
      <c r="B270" s="697" t="s">
        <v>2707</v>
      </c>
      <c r="C270" s="697" t="s">
        <v>3145</v>
      </c>
      <c r="D270" s="697" t="s">
        <v>3174</v>
      </c>
      <c r="E270" s="697" t="s">
        <v>1294</v>
      </c>
      <c r="F270" s="701">
        <v>1</v>
      </c>
      <c r="G270" s="701">
        <v>16469.2</v>
      </c>
      <c r="H270" s="701"/>
      <c r="I270" s="701">
        <v>16469.2</v>
      </c>
      <c r="J270" s="701"/>
      <c r="K270" s="701"/>
      <c r="L270" s="701"/>
      <c r="M270" s="701"/>
      <c r="N270" s="701"/>
      <c r="O270" s="701"/>
      <c r="P270" s="723"/>
      <c r="Q270" s="702"/>
    </row>
    <row r="271" spans="1:17" ht="14.4" customHeight="1" x14ac:dyDescent="0.3">
      <c r="A271" s="696" t="s">
        <v>505</v>
      </c>
      <c r="B271" s="697" t="s">
        <v>2707</v>
      </c>
      <c r="C271" s="697" t="s">
        <v>3145</v>
      </c>
      <c r="D271" s="697" t="s">
        <v>3175</v>
      </c>
      <c r="E271" s="697" t="s">
        <v>3176</v>
      </c>
      <c r="F271" s="701"/>
      <c r="G271" s="701"/>
      <c r="H271" s="701"/>
      <c r="I271" s="701"/>
      <c r="J271" s="701">
        <v>11.8</v>
      </c>
      <c r="K271" s="701">
        <v>7299.04</v>
      </c>
      <c r="L271" s="701">
        <v>1</v>
      </c>
      <c r="M271" s="701">
        <v>618.56271186440677</v>
      </c>
      <c r="N271" s="701">
        <v>9.4</v>
      </c>
      <c r="O271" s="701">
        <v>2529.7599999999998</v>
      </c>
      <c r="P271" s="723">
        <v>0.34658804445516117</v>
      </c>
      <c r="Q271" s="702">
        <v>269.12340425531909</v>
      </c>
    </row>
    <row r="272" spans="1:17" ht="14.4" customHeight="1" x14ac:dyDescent="0.3">
      <c r="A272" s="696" t="s">
        <v>505</v>
      </c>
      <c r="B272" s="697" t="s">
        <v>2707</v>
      </c>
      <c r="C272" s="697" t="s">
        <v>3145</v>
      </c>
      <c r="D272" s="697" t="s">
        <v>3177</v>
      </c>
      <c r="E272" s="697" t="s">
        <v>3178</v>
      </c>
      <c r="F272" s="701">
        <v>2</v>
      </c>
      <c r="G272" s="701">
        <v>85.76</v>
      </c>
      <c r="H272" s="701"/>
      <c r="I272" s="701">
        <v>42.88</v>
      </c>
      <c r="J272" s="701"/>
      <c r="K272" s="701"/>
      <c r="L272" s="701"/>
      <c r="M272" s="701"/>
      <c r="N272" s="701"/>
      <c r="O272" s="701"/>
      <c r="P272" s="723"/>
      <c r="Q272" s="702"/>
    </row>
    <row r="273" spans="1:17" ht="14.4" customHeight="1" x14ac:dyDescent="0.3">
      <c r="A273" s="696" t="s">
        <v>505</v>
      </c>
      <c r="B273" s="697" t="s">
        <v>2707</v>
      </c>
      <c r="C273" s="697" t="s">
        <v>3145</v>
      </c>
      <c r="D273" s="697" t="s">
        <v>3179</v>
      </c>
      <c r="E273" s="697" t="s">
        <v>1372</v>
      </c>
      <c r="F273" s="701">
        <v>38</v>
      </c>
      <c r="G273" s="701">
        <v>2934.3599999999997</v>
      </c>
      <c r="H273" s="701">
        <v>12.666666666666666</v>
      </c>
      <c r="I273" s="701">
        <v>77.219999999999985</v>
      </c>
      <c r="J273" s="701">
        <v>3</v>
      </c>
      <c r="K273" s="701">
        <v>231.66</v>
      </c>
      <c r="L273" s="701">
        <v>1</v>
      </c>
      <c r="M273" s="701">
        <v>77.22</v>
      </c>
      <c r="N273" s="701">
        <v>12</v>
      </c>
      <c r="O273" s="701">
        <v>912.18000000000006</v>
      </c>
      <c r="P273" s="723">
        <v>3.9375809375809379</v>
      </c>
      <c r="Q273" s="702">
        <v>76.015000000000001</v>
      </c>
    </row>
    <row r="274" spans="1:17" ht="14.4" customHeight="1" x14ac:dyDescent="0.3">
      <c r="A274" s="696" t="s">
        <v>505</v>
      </c>
      <c r="B274" s="697" t="s">
        <v>2707</v>
      </c>
      <c r="C274" s="697" t="s">
        <v>3145</v>
      </c>
      <c r="D274" s="697" t="s">
        <v>3180</v>
      </c>
      <c r="E274" s="697" t="s">
        <v>3181</v>
      </c>
      <c r="F274" s="701">
        <v>482.00000000000011</v>
      </c>
      <c r="G274" s="701">
        <v>130966.66</v>
      </c>
      <c r="H274" s="701">
        <v>1.008538955030891</v>
      </c>
      <c r="I274" s="701">
        <v>271.71506224066383</v>
      </c>
      <c r="J274" s="701">
        <v>477.92</v>
      </c>
      <c r="K274" s="701">
        <v>129857.81000000001</v>
      </c>
      <c r="L274" s="701">
        <v>1</v>
      </c>
      <c r="M274" s="701">
        <v>271.71453381319049</v>
      </c>
      <c r="N274" s="701">
        <v>438.71999999999997</v>
      </c>
      <c r="O274" s="701">
        <v>96967.88</v>
      </c>
      <c r="P274" s="723">
        <v>0.74672351243255985</v>
      </c>
      <c r="Q274" s="702">
        <v>221.02452589350841</v>
      </c>
    </row>
    <row r="275" spans="1:17" ht="14.4" customHeight="1" x14ac:dyDescent="0.3">
      <c r="A275" s="696" t="s">
        <v>505</v>
      </c>
      <c r="B275" s="697" t="s">
        <v>2707</v>
      </c>
      <c r="C275" s="697" t="s">
        <v>3145</v>
      </c>
      <c r="D275" s="697" t="s">
        <v>3182</v>
      </c>
      <c r="E275" s="697" t="s">
        <v>3183</v>
      </c>
      <c r="F275" s="701">
        <v>2</v>
      </c>
      <c r="G275" s="701">
        <v>271.7</v>
      </c>
      <c r="H275" s="701"/>
      <c r="I275" s="701">
        <v>135.85</v>
      </c>
      <c r="J275" s="701"/>
      <c r="K275" s="701"/>
      <c r="L275" s="701"/>
      <c r="M275" s="701"/>
      <c r="N275" s="701"/>
      <c r="O275" s="701"/>
      <c r="P275" s="723"/>
      <c r="Q275" s="702"/>
    </row>
    <row r="276" spans="1:17" ht="14.4" customHeight="1" x14ac:dyDescent="0.3">
      <c r="A276" s="696" t="s">
        <v>505</v>
      </c>
      <c r="B276" s="697" t="s">
        <v>2707</v>
      </c>
      <c r="C276" s="697" t="s">
        <v>3145</v>
      </c>
      <c r="D276" s="697" t="s">
        <v>3184</v>
      </c>
      <c r="E276" s="697" t="s">
        <v>3185</v>
      </c>
      <c r="F276" s="701"/>
      <c r="G276" s="701"/>
      <c r="H276" s="701"/>
      <c r="I276" s="701"/>
      <c r="J276" s="701"/>
      <c r="K276" s="701"/>
      <c r="L276" s="701"/>
      <c r="M276" s="701"/>
      <c r="N276" s="701">
        <v>10</v>
      </c>
      <c r="O276" s="701">
        <v>599.79999999999995</v>
      </c>
      <c r="P276" s="723"/>
      <c r="Q276" s="702">
        <v>59.98</v>
      </c>
    </row>
    <row r="277" spans="1:17" ht="14.4" customHeight="1" x14ac:dyDescent="0.3">
      <c r="A277" s="696" t="s">
        <v>505</v>
      </c>
      <c r="B277" s="697" t="s">
        <v>2707</v>
      </c>
      <c r="C277" s="697" t="s">
        <v>3145</v>
      </c>
      <c r="D277" s="697" t="s">
        <v>3186</v>
      </c>
      <c r="E277" s="697" t="s">
        <v>3185</v>
      </c>
      <c r="F277" s="701"/>
      <c r="G277" s="701"/>
      <c r="H277" s="701"/>
      <c r="I277" s="701"/>
      <c r="J277" s="701"/>
      <c r="K277" s="701"/>
      <c r="L277" s="701"/>
      <c r="M277" s="701"/>
      <c r="N277" s="701">
        <v>73</v>
      </c>
      <c r="O277" s="701">
        <v>7435.04</v>
      </c>
      <c r="P277" s="723"/>
      <c r="Q277" s="702">
        <v>101.84986301369862</v>
      </c>
    </row>
    <row r="278" spans="1:17" ht="14.4" customHeight="1" x14ac:dyDescent="0.3">
      <c r="A278" s="696" t="s">
        <v>505</v>
      </c>
      <c r="B278" s="697" t="s">
        <v>2707</v>
      </c>
      <c r="C278" s="697" t="s">
        <v>3145</v>
      </c>
      <c r="D278" s="697" t="s">
        <v>3187</v>
      </c>
      <c r="E278" s="697" t="s">
        <v>3188</v>
      </c>
      <c r="F278" s="701">
        <v>0.30000000000000004</v>
      </c>
      <c r="G278" s="701">
        <v>1340.1599999999999</v>
      </c>
      <c r="H278" s="701"/>
      <c r="I278" s="701">
        <v>4467.1999999999989</v>
      </c>
      <c r="J278" s="701"/>
      <c r="K278" s="701"/>
      <c r="L278" s="701"/>
      <c r="M278" s="701"/>
      <c r="N278" s="701"/>
      <c r="O278" s="701"/>
      <c r="P278" s="723"/>
      <c r="Q278" s="702"/>
    </row>
    <row r="279" spans="1:17" ht="14.4" customHeight="1" x14ac:dyDescent="0.3">
      <c r="A279" s="696" t="s">
        <v>505</v>
      </c>
      <c r="B279" s="697" t="s">
        <v>2707</v>
      </c>
      <c r="C279" s="697" t="s">
        <v>3145</v>
      </c>
      <c r="D279" s="697" t="s">
        <v>3189</v>
      </c>
      <c r="E279" s="697" t="s">
        <v>3190</v>
      </c>
      <c r="F279" s="701">
        <v>1</v>
      </c>
      <c r="G279" s="701">
        <v>4314.91</v>
      </c>
      <c r="H279" s="701"/>
      <c r="I279" s="701">
        <v>4314.91</v>
      </c>
      <c r="J279" s="701"/>
      <c r="K279" s="701"/>
      <c r="L279" s="701"/>
      <c r="M279" s="701"/>
      <c r="N279" s="701"/>
      <c r="O279" s="701"/>
      <c r="P279" s="723"/>
      <c r="Q279" s="702"/>
    </row>
    <row r="280" spans="1:17" ht="14.4" customHeight="1" x14ac:dyDescent="0.3">
      <c r="A280" s="696" t="s">
        <v>505</v>
      </c>
      <c r="B280" s="697" t="s">
        <v>2707</v>
      </c>
      <c r="C280" s="697" t="s">
        <v>3145</v>
      </c>
      <c r="D280" s="697" t="s">
        <v>3191</v>
      </c>
      <c r="E280" s="697" t="s">
        <v>3190</v>
      </c>
      <c r="F280" s="701">
        <v>2</v>
      </c>
      <c r="G280" s="701">
        <v>17259.66</v>
      </c>
      <c r="H280" s="701"/>
      <c r="I280" s="701">
        <v>8629.83</v>
      </c>
      <c r="J280" s="701"/>
      <c r="K280" s="701"/>
      <c r="L280" s="701"/>
      <c r="M280" s="701"/>
      <c r="N280" s="701"/>
      <c r="O280" s="701"/>
      <c r="P280" s="723"/>
      <c r="Q280" s="702"/>
    </row>
    <row r="281" spans="1:17" ht="14.4" customHeight="1" x14ac:dyDescent="0.3">
      <c r="A281" s="696" t="s">
        <v>505</v>
      </c>
      <c r="B281" s="697" t="s">
        <v>2707</v>
      </c>
      <c r="C281" s="697" t="s">
        <v>3145</v>
      </c>
      <c r="D281" s="697" t="s">
        <v>3192</v>
      </c>
      <c r="E281" s="697"/>
      <c r="F281" s="701">
        <v>1</v>
      </c>
      <c r="G281" s="701">
        <v>386.6</v>
      </c>
      <c r="H281" s="701"/>
      <c r="I281" s="701">
        <v>386.6</v>
      </c>
      <c r="J281" s="701"/>
      <c r="K281" s="701"/>
      <c r="L281" s="701"/>
      <c r="M281" s="701"/>
      <c r="N281" s="701"/>
      <c r="O281" s="701"/>
      <c r="P281" s="723"/>
      <c r="Q281" s="702"/>
    </row>
    <row r="282" spans="1:17" ht="14.4" customHeight="1" x14ac:dyDescent="0.3">
      <c r="A282" s="696" t="s">
        <v>505</v>
      </c>
      <c r="B282" s="697" t="s">
        <v>2707</v>
      </c>
      <c r="C282" s="697" t="s">
        <v>3145</v>
      </c>
      <c r="D282" s="697" t="s">
        <v>3193</v>
      </c>
      <c r="E282" s="697" t="s">
        <v>1080</v>
      </c>
      <c r="F282" s="701">
        <v>1.5</v>
      </c>
      <c r="G282" s="701">
        <v>1877.4</v>
      </c>
      <c r="H282" s="701">
        <v>1.0194672965708236</v>
      </c>
      <c r="I282" s="701">
        <v>1251.6000000000001</v>
      </c>
      <c r="J282" s="701">
        <v>1.5</v>
      </c>
      <c r="K282" s="701">
        <v>1841.55</v>
      </c>
      <c r="L282" s="701">
        <v>1</v>
      </c>
      <c r="M282" s="701">
        <v>1227.7</v>
      </c>
      <c r="N282" s="701">
        <v>0.9</v>
      </c>
      <c r="O282" s="701">
        <v>1104.93</v>
      </c>
      <c r="P282" s="723">
        <v>0.60000000000000009</v>
      </c>
      <c r="Q282" s="702">
        <v>1227.7</v>
      </c>
    </row>
    <row r="283" spans="1:17" ht="14.4" customHeight="1" x14ac:dyDescent="0.3">
      <c r="A283" s="696" t="s">
        <v>505</v>
      </c>
      <c r="B283" s="697" t="s">
        <v>2707</v>
      </c>
      <c r="C283" s="697" t="s">
        <v>3145</v>
      </c>
      <c r="D283" s="697" t="s">
        <v>3194</v>
      </c>
      <c r="E283" s="697" t="s">
        <v>1310</v>
      </c>
      <c r="F283" s="701">
        <v>0.79999999999999993</v>
      </c>
      <c r="G283" s="701">
        <v>343.36</v>
      </c>
      <c r="H283" s="701">
        <v>0.15094339622641509</v>
      </c>
      <c r="I283" s="701">
        <v>429.20000000000005</v>
      </c>
      <c r="J283" s="701">
        <v>5.3</v>
      </c>
      <c r="K283" s="701">
        <v>2274.7600000000002</v>
      </c>
      <c r="L283" s="701">
        <v>1</v>
      </c>
      <c r="M283" s="701">
        <v>429.20000000000005</v>
      </c>
      <c r="N283" s="701">
        <v>12.6</v>
      </c>
      <c r="O283" s="701">
        <v>4625.3000000000011</v>
      </c>
      <c r="P283" s="723">
        <v>2.0333134044910235</v>
      </c>
      <c r="Q283" s="702">
        <v>367.08730158730168</v>
      </c>
    </row>
    <row r="284" spans="1:17" ht="14.4" customHeight="1" x14ac:dyDescent="0.3">
      <c r="A284" s="696" t="s">
        <v>505</v>
      </c>
      <c r="B284" s="697" t="s">
        <v>2707</v>
      </c>
      <c r="C284" s="697" t="s">
        <v>3145</v>
      </c>
      <c r="D284" s="697" t="s">
        <v>3195</v>
      </c>
      <c r="E284" s="697" t="s">
        <v>3196</v>
      </c>
      <c r="F284" s="701">
        <v>150</v>
      </c>
      <c r="G284" s="701">
        <v>9823.02</v>
      </c>
      <c r="H284" s="701">
        <v>1.9709939624261859</v>
      </c>
      <c r="I284" s="701">
        <v>65.486800000000002</v>
      </c>
      <c r="J284" s="701">
        <v>77</v>
      </c>
      <c r="K284" s="701">
        <v>4983.79</v>
      </c>
      <c r="L284" s="701">
        <v>1</v>
      </c>
      <c r="M284" s="701">
        <v>64.724545454545449</v>
      </c>
      <c r="N284" s="701"/>
      <c r="O284" s="701"/>
      <c r="P284" s="723"/>
      <c r="Q284" s="702"/>
    </row>
    <row r="285" spans="1:17" ht="14.4" customHeight="1" x14ac:dyDescent="0.3">
      <c r="A285" s="696" t="s">
        <v>505</v>
      </c>
      <c r="B285" s="697" t="s">
        <v>2707</v>
      </c>
      <c r="C285" s="697" t="s">
        <v>3145</v>
      </c>
      <c r="D285" s="697" t="s">
        <v>3197</v>
      </c>
      <c r="E285" s="697" t="s">
        <v>3198</v>
      </c>
      <c r="F285" s="701">
        <v>18.900000000000002</v>
      </c>
      <c r="G285" s="701">
        <v>1489.32</v>
      </c>
      <c r="H285" s="701">
        <v>8.5909090909090899</v>
      </c>
      <c r="I285" s="701">
        <v>78.799999999999983</v>
      </c>
      <c r="J285" s="701">
        <v>2.2000000000000002</v>
      </c>
      <c r="K285" s="701">
        <v>173.36</v>
      </c>
      <c r="L285" s="701">
        <v>1</v>
      </c>
      <c r="M285" s="701">
        <v>78.8</v>
      </c>
      <c r="N285" s="701">
        <v>1.4</v>
      </c>
      <c r="O285" s="701">
        <v>82.22999999999999</v>
      </c>
      <c r="P285" s="723">
        <v>0.47433087217351166</v>
      </c>
      <c r="Q285" s="702">
        <v>58.73571428571428</v>
      </c>
    </row>
    <row r="286" spans="1:17" ht="14.4" customHeight="1" x14ac:dyDescent="0.3">
      <c r="A286" s="696" t="s">
        <v>505</v>
      </c>
      <c r="B286" s="697" t="s">
        <v>2707</v>
      </c>
      <c r="C286" s="697" t="s">
        <v>3145</v>
      </c>
      <c r="D286" s="697" t="s">
        <v>3199</v>
      </c>
      <c r="E286" s="697" t="s">
        <v>1690</v>
      </c>
      <c r="F286" s="701">
        <v>1458</v>
      </c>
      <c r="G286" s="701">
        <v>102278.70000000001</v>
      </c>
      <c r="H286" s="701">
        <v>1.0838349807417624</v>
      </c>
      <c r="I286" s="701">
        <v>70.150000000000006</v>
      </c>
      <c r="J286" s="701">
        <v>1945</v>
      </c>
      <c r="K286" s="701">
        <v>94367.410000000018</v>
      </c>
      <c r="L286" s="701">
        <v>1</v>
      </c>
      <c r="M286" s="701">
        <v>48.517948586118258</v>
      </c>
      <c r="N286" s="701">
        <v>1644</v>
      </c>
      <c r="O286" s="701">
        <v>72549.72</v>
      </c>
      <c r="P286" s="723">
        <v>0.76880058486293079</v>
      </c>
      <c r="Q286" s="702">
        <v>44.13</v>
      </c>
    </row>
    <row r="287" spans="1:17" ht="14.4" customHeight="1" x14ac:dyDescent="0.3">
      <c r="A287" s="696" t="s">
        <v>505</v>
      </c>
      <c r="B287" s="697" t="s">
        <v>2707</v>
      </c>
      <c r="C287" s="697" t="s">
        <v>3145</v>
      </c>
      <c r="D287" s="697" t="s">
        <v>3200</v>
      </c>
      <c r="E287" s="697" t="s">
        <v>3201</v>
      </c>
      <c r="F287" s="701">
        <v>3</v>
      </c>
      <c r="G287" s="701">
        <v>3862.08</v>
      </c>
      <c r="H287" s="701">
        <v>1</v>
      </c>
      <c r="I287" s="701">
        <v>1287.3599999999999</v>
      </c>
      <c r="J287" s="701">
        <v>3</v>
      </c>
      <c r="K287" s="701">
        <v>3862.08</v>
      </c>
      <c r="L287" s="701">
        <v>1</v>
      </c>
      <c r="M287" s="701">
        <v>1287.3599999999999</v>
      </c>
      <c r="N287" s="701"/>
      <c r="O287" s="701"/>
      <c r="P287" s="723"/>
      <c r="Q287" s="702"/>
    </row>
    <row r="288" spans="1:17" ht="14.4" customHeight="1" x14ac:dyDescent="0.3">
      <c r="A288" s="696" t="s">
        <v>505</v>
      </c>
      <c r="B288" s="697" t="s">
        <v>2707</v>
      </c>
      <c r="C288" s="697" t="s">
        <v>3145</v>
      </c>
      <c r="D288" s="697" t="s">
        <v>3202</v>
      </c>
      <c r="E288" s="697" t="s">
        <v>1296</v>
      </c>
      <c r="F288" s="701"/>
      <c r="G288" s="701"/>
      <c r="H288" s="701"/>
      <c r="I288" s="701"/>
      <c r="J288" s="701">
        <v>7</v>
      </c>
      <c r="K288" s="701">
        <v>9011.5199999999986</v>
      </c>
      <c r="L288" s="701">
        <v>1</v>
      </c>
      <c r="M288" s="701">
        <v>1287.3599999999999</v>
      </c>
      <c r="N288" s="701">
        <v>2</v>
      </c>
      <c r="O288" s="701">
        <v>2574.7199999999998</v>
      </c>
      <c r="P288" s="723">
        <v>0.28571428571428575</v>
      </c>
      <c r="Q288" s="702">
        <v>1287.3599999999999</v>
      </c>
    </row>
    <row r="289" spans="1:17" ht="14.4" customHeight="1" x14ac:dyDescent="0.3">
      <c r="A289" s="696" t="s">
        <v>505</v>
      </c>
      <c r="B289" s="697" t="s">
        <v>2707</v>
      </c>
      <c r="C289" s="697" t="s">
        <v>3145</v>
      </c>
      <c r="D289" s="697" t="s">
        <v>3203</v>
      </c>
      <c r="E289" s="697" t="s">
        <v>3204</v>
      </c>
      <c r="F289" s="701">
        <v>18.990000000000002</v>
      </c>
      <c r="G289" s="701">
        <v>14508.189999999999</v>
      </c>
      <c r="H289" s="701">
        <v>1.1887145696742465</v>
      </c>
      <c r="I289" s="701">
        <v>763.99104791995774</v>
      </c>
      <c r="J289" s="701">
        <v>15.95</v>
      </c>
      <c r="K289" s="701">
        <v>12204.94</v>
      </c>
      <c r="L289" s="701">
        <v>1</v>
      </c>
      <c r="M289" s="701">
        <v>765.2</v>
      </c>
      <c r="N289" s="701">
        <v>21.22</v>
      </c>
      <c r="O289" s="701">
        <v>15218.560000000001</v>
      </c>
      <c r="P289" s="723">
        <v>1.2469180512153277</v>
      </c>
      <c r="Q289" s="702">
        <v>717.18001885014144</v>
      </c>
    </row>
    <row r="290" spans="1:17" ht="14.4" customHeight="1" x14ac:dyDescent="0.3">
      <c r="A290" s="696" t="s">
        <v>505</v>
      </c>
      <c r="B290" s="697" t="s">
        <v>2707</v>
      </c>
      <c r="C290" s="697" t="s">
        <v>3145</v>
      </c>
      <c r="D290" s="697" t="s">
        <v>3205</v>
      </c>
      <c r="E290" s="697" t="s">
        <v>3204</v>
      </c>
      <c r="F290" s="701"/>
      <c r="G290" s="701"/>
      <c r="H290" s="701"/>
      <c r="I290" s="701"/>
      <c r="J290" s="701">
        <v>4.95</v>
      </c>
      <c r="K290" s="701">
        <v>1864.4199999999998</v>
      </c>
      <c r="L290" s="701">
        <v>1</v>
      </c>
      <c r="M290" s="701">
        <v>376.65050505050499</v>
      </c>
      <c r="N290" s="701">
        <v>6.3500000000000005</v>
      </c>
      <c r="O290" s="701">
        <v>2168.64</v>
      </c>
      <c r="P290" s="723">
        <v>1.1631713884210639</v>
      </c>
      <c r="Q290" s="702">
        <v>341.51811023622042</v>
      </c>
    </row>
    <row r="291" spans="1:17" ht="14.4" customHeight="1" x14ac:dyDescent="0.3">
      <c r="A291" s="696" t="s">
        <v>505</v>
      </c>
      <c r="B291" s="697" t="s">
        <v>2707</v>
      </c>
      <c r="C291" s="697" t="s">
        <v>3145</v>
      </c>
      <c r="D291" s="697" t="s">
        <v>3206</v>
      </c>
      <c r="E291" s="697" t="s">
        <v>3207</v>
      </c>
      <c r="F291" s="701"/>
      <c r="G291" s="701"/>
      <c r="H291" s="701"/>
      <c r="I291" s="701"/>
      <c r="J291" s="701">
        <v>1.3</v>
      </c>
      <c r="K291" s="701">
        <v>1184.21</v>
      </c>
      <c r="L291" s="701">
        <v>1</v>
      </c>
      <c r="M291" s="701">
        <v>910.93076923076922</v>
      </c>
      <c r="N291" s="701">
        <v>0.5</v>
      </c>
      <c r="O291" s="701">
        <v>441.97</v>
      </c>
      <c r="P291" s="723">
        <v>0.37321927698634533</v>
      </c>
      <c r="Q291" s="702">
        <v>883.94</v>
      </c>
    </row>
    <row r="292" spans="1:17" ht="14.4" customHeight="1" x14ac:dyDescent="0.3">
      <c r="A292" s="696" t="s">
        <v>505</v>
      </c>
      <c r="B292" s="697" t="s">
        <v>2707</v>
      </c>
      <c r="C292" s="697" t="s">
        <v>3145</v>
      </c>
      <c r="D292" s="697" t="s">
        <v>3208</v>
      </c>
      <c r="E292" s="697" t="s">
        <v>3209</v>
      </c>
      <c r="F292" s="701"/>
      <c r="G292" s="701"/>
      <c r="H292" s="701"/>
      <c r="I292" s="701"/>
      <c r="J292" s="701">
        <v>2.5</v>
      </c>
      <c r="K292" s="701">
        <v>1499.5</v>
      </c>
      <c r="L292" s="701">
        <v>1</v>
      </c>
      <c r="M292" s="701">
        <v>599.79999999999995</v>
      </c>
      <c r="N292" s="701">
        <v>0.7</v>
      </c>
      <c r="O292" s="701">
        <v>419.86</v>
      </c>
      <c r="P292" s="723">
        <v>0.28000000000000003</v>
      </c>
      <c r="Q292" s="702">
        <v>599.80000000000007</v>
      </c>
    </row>
    <row r="293" spans="1:17" ht="14.4" customHeight="1" x14ac:dyDescent="0.3">
      <c r="A293" s="696" t="s">
        <v>505</v>
      </c>
      <c r="B293" s="697" t="s">
        <v>2707</v>
      </c>
      <c r="C293" s="697" t="s">
        <v>3145</v>
      </c>
      <c r="D293" s="697" t="s">
        <v>3210</v>
      </c>
      <c r="E293" s="697" t="s">
        <v>3209</v>
      </c>
      <c r="F293" s="701">
        <v>12.299999999999999</v>
      </c>
      <c r="G293" s="701">
        <v>9837.02</v>
      </c>
      <c r="H293" s="701">
        <v>1.8636720156110869</v>
      </c>
      <c r="I293" s="701">
        <v>799.75772357723588</v>
      </c>
      <c r="J293" s="701">
        <v>6.6</v>
      </c>
      <c r="K293" s="701">
        <v>5278.3</v>
      </c>
      <c r="L293" s="701">
        <v>1</v>
      </c>
      <c r="M293" s="701">
        <v>799.74242424242436</v>
      </c>
      <c r="N293" s="701">
        <v>1</v>
      </c>
      <c r="O293" s="701">
        <v>630.09</v>
      </c>
      <c r="P293" s="723">
        <v>0.11937366197449936</v>
      </c>
      <c r="Q293" s="702">
        <v>630.09</v>
      </c>
    </row>
    <row r="294" spans="1:17" ht="14.4" customHeight="1" x14ac:dyDescent="0.3">
      <c r="A294" s="696" t="s">
        <v>505</v>
      </c>
      <c r="B294" s="697" t="s">
        <v>2707</v>
      </c>
      <c r="C294" s="697" t="s">
        <v>3145</v>
      </c>
      <c r="D294" s="697" t="s">
        <v>3211</v>
      </c>
      <c r="E294" s="697" t="s">
        <v>1289</v>
      </c>
      <c r="F294" s="701">
        <v>57</v>
      </c>
      <c r="G294" s="701">
        <v>73379.520000000004</v>
      </c>
      <c r="H294" s="701">
        <v>0.27246654122033948</v>
      </c>
      <c r="I294" s="701">
        <v>1287.3600000000001</v>
      </c>
      <c r="J294" s="701">
        <v>209.2</v>
      </c>
      <c r="K294" s="701">
        <v>269315.71000000002</v>
      </c>
      <c r="L294" s="701">
        <v>1</v>
      </c>
      <c r="M294" s="701">
        <v>1287.3599904397706</v>
      </c>
      <c r="N294" s="701">
        <v>299</v>
      </c>
      <c r="O294" s="701">
        <v>384920.64</v>
      </c>
      <c r="P294" s="723">
        <v>1.4292543127172195</v>
      </c>
      <c r="Q294" s="702">
        <v>1287.3600000000001</v>
      </c>
    </row>
    <row r="295" spans="1:17" ht="14.4" customHeight="1" x14ac:dyDescent="0.3">
      <c r="A295" s="696" t="s">
        <v>505</v>
      </c>
      <c r="B295" s="697" t="s">
        <v>2707</v>
      </c>
      <c r="C295" s="697" t="s">
        <v>3145</v>
      </c>
      <c r="D295" s="697" t="s">
        <v>3212</v>
      </c>
      <c r="E295" s="697" t="s">
        <v>1386</v>
      </c>
      <c r="F295" s="701">
        <v>10.199999999999999</v>
      </c>
      <c r="G295" s="701">
        <v>16645.04</v>
      </c>
      <c r="H295" s="701">
        <v>0.84297634506187735</v>
      </c>
      <c r="I295" s="701">
        <v>1631.8666666666668</v>
      </c>
      <c r="J295" s="701">
        <v>12.100000000000001</v>
      </c>
      <c r="K295" s="701">
        <v>19745.559999999998</v>
      </c>
      <c r="L295" s="701">
        <v>1</v>
      </c>
      <c r="M295" s="701">
        <v>1631.8644628099169</v>
      </c>
      <c r="N295" s="701">
        <v>25.4</v>
      </c>
      <c r="O295" s="701">
        <v>41449.409999999996</v>
      </c>
      <c r="P295" s="723">
        <v>2.0991762198691757</v>
      </c>
      <c r="Q295" s="702">
        <v>1631.8665354330708</v>
      </c>
    </row>
    <row r="296" spans="1:17" ht="14.4" customHeight="1" x14ac:dyDescent="0.3">
      <c r="A296" s="696" t="s">
        <v>505</v>
      </c>
      <c r="B296" s="697" t="s">
        <v>2707</v>
      </c>
      <c r="C296" s="697" t="s">
        <v>3145</v>
      </c>
      <c r="D296" s="697" t="s">
        <v>3213</v>
      </c>
      <c r="E296" s="697" t="s">
        <v>3214</v>
      </c>
      <c r="F296" s="701">
        <v>15.649999999999999</v>
      </c>
      <c r="G296" s="701">
        <v>6131.6699999999992</v>
      </c>
      <c r="H296" s="701">
        <v>4.0128205128205119</v>
      </c>
      <c r="I296" s="701">
        <v>391.79999999999995</v>
      </c>
      <c r="J296" s="701">
        <v>3.9000000000000004</v>
      </c>
      <c r="K296" s="701">
        <v>1528.02</v>
      </c>
      <c r="L296" s="701">
        <v>1</v>
      </c>
      <c r="M296" s="701">
        <v>391.79999999999995</v>
      </c>
      <c r="N296" s="701">
        <v>0.3</v>
      </c>
      <c r="O296" s="701">
        <v>117.54</v>
      </c>
      <c r="P296" s="723">
        <v>7.6923076923076927E-2</v>
      </c>
      <c r="Q296" s="702">
        <v>391.8</v>
      </c>
    </row>
    <row r="297" spans="1:17" ht="14.4" customHeight="1" x14ac:dyDescent="0.3">
      <c r="A297" s="696" t="s">
        <v>505</v>
      </c>
      <c r="B297" s="697" t="s">
        <v>2707</v>
      </c>
      <c r="C297" s="697" t="s">
        <v>3145</v>
      </c>
      <c r="D297" s="697" t="s">
        <v>3215</v>
      </c>
      <c r="E297" s="697" t="s">
        <v>821</v>
      </c>
      <c r="F297" s="701">
        <v>1.1000000000000001</v>
      </c>
      <c r="G297" s="701">
        <v>842.16000000000008</v>
      </c>
      <c r="H297" s="701">
        <v>0.65484234672057851</v>
      </c>
      <c r="I297" s="701">
        <v>765.6</v>
      </c>
      <c r="J297" s="701">
        <v>1.7000000000000002</v>
      </c>
      <c r="K297" s="701">
        <v>1286.0500000000002</v>
      </c>
      <c r="L297" s="701">
        <v>1</v>
      </c>
      <c r="M297" s="701">
        <v>756.5</v>
      </c>
      <c r="N297" s="701">
        <v>2.1</v>
      </c>
      <c r="O297" s="701">
        <v>1241.73</v>
      </c>
      <c r="P297" s="723">
        <v>0.96553788732941936</v>
      </c>
      <c r="Q297" s="702">
        <v>591.29999999999995</v>
      </c>
    </row>
    <row r="298" spans="1:17" ht="14.4" customHeight="1" x14ac:dyDescent="0.3">
      <c r="A298" s="696" t="s">
        <v>505</v>
      </c>
      <c r="B298" s="697" t="s">
        <v>2707</v>
      </c>
      <c r="C298" s="697" t="s">
        <v>3145</v>
      </c>
      <c r="D298" s="697" t="s">
        <v>3216</v>
      </c>
      <c r="E298" s="697" t="s">
        <v>3217</v>
      </c>
      <c r="F298" s="701">
        <v>1.8200000000000003</v>
      </c>
      <c r="G298" s="701">
        <v>702.6</v>
      </c>
      <c r="H298" s="701">
        <v>0.51704725249655969</v>
      </c>
      <c r="I298" s="701">
        <v>386.04395604395597</v>
      </c>
      <c r="J298" s="701">
        <v>3.52</v>
      </c>
      <c r="K298" s="701">
        <v>1358.87</v>
      </c>
      <c r="L298" s="701">
        <v>1</v>
      </c>
      <c r="M298" s="701">
        <v>386.04261363636363</v>
      </c>
      <c r="N298" s="701">
        <v>3.23</v>
      </c>
      <c r="O298" s="701">
        <v>873.88</v>
      </c>
      <c r="P298" s="723">
        <v>0.64309315828592883</v>
      </c>
      <c r="Q298" s="702">
        <v>270.55108359133129</v>
      </c>
    </row>
    <row r="299" spans="1:17" ht="14.4" customHeight="1" x14ac:dyDescent="0.3">
      <c r="A299" s="696" t="s">
        <v>505</v>
      </c>
      <c r="B299" s="697" t="s">
        <v>2707</v>
      </c>
      <c r="C299" s="697" t="s">
        <v>3145</v>
      </c>
      <c r="D299" s="697" t="s">
        <v>3218</v>
      </c>
      <c r="E299" s="697" t="s">
        <v>3217</v>
      </c>
      <c r="F299" s="701">
        <v>33.699999999999996</v>
      </c>
      <c r="G299" s="701">
        <v>26021.269999999997</v>
      </c>
      <c r="H299" s="701">
        <v>0.81776281447526666</v>
      </c>
      <c r="I299" s="701">
        <v>772.14451038575669</v>
      </c>
      <c r="J299" s="701">
        <v>41.21</v>
      </c>
      <c r="K299" s="701">
        <v>31820.07</v>
      </c>
      <c r="L299" s="701">
        <v>1</v>
      </c>
      <c r="M299" s="701">
        <v>772.14438243144866</v>
      </c>
      <c r="N299" s="701">
        <v>41.7</v>
      </c>
      <c r="O299" s="701">
        <v>22054.58</v>
      </c>
      <c r="P299" s="723">
        <v>0.6931028121559758</v>
      </c>
      <c r="Q299" s="702">
        <v>528.88681055155871</v>
      </c>
    </row>
    <row r="300" spans="1:17" ht="14.4" customHeight="1" x14ac:dyDescent="0.3">
      <c r="A300" s="696" t="s">
        <v>505</v>
      </c>
      <c r="B300" s="697" t="s">
        <v>2707</v>
      </c>
      <c r="C300" s="697" t="s">
        <v>3145</v>
      </c>
      <c r="D300" s="697" t="s">
        <v>3219</v>
      </c>
      <c r="E300" s="697" t="s">
        <v>598</v>
      </c>
      <c r="F300" s="701">
        <v>7</v>
      </c>
      <c r="G300" s="701">
        <v>6042.19</v>
      </c>
      <c r="H300" s="701">
        <v>1.229917275295765</v>
      </c>
      <c r="I300" s="701">
        <v>863.17</v>
      </c>
      <c r="J300" s="701">
        <v>6</v>
      </c>
      <c r="K300" s="701">
        <v>4912.68</v>
      </c>
      <c r="L300" s="701">
        <v>1</v>
      </c>
      <c r="M300" s="701">
        <v>818.78000000000009</v>
      </c>
      <c r="N300" s="701"/>
      <c r="O300" s="701"/>
      <c r="P300" s="723"/>
      <c r="Q300" s="702"/>
    </row>
    <row r="301" spans="1:17" ht="14.4" customHeight="1" x14ac:dyDescent="0.3">
      <c r="A301" s="696" t="s">
        <v>505</v>
      </c>
      <c r="B301" s="697" t="s">
        <v>2707</v>
      </c>
      <c r="C301" s="697" t="s">
        <v>3145</v>
      </c>
      <c r="D301" s="697" t="s">
        <v>3220</v>
      </c>
      <c r="E301" s="697" t="s">
        <v>1701</v>
      </c>
      <c r="F301" s="701">
        <v>110.89</v>
      </c>
      <c r="G301" s="701">
        <v>45747.420000000006</v>
      </c>
      <c r="H301" s="701">
        <v>1.6643935044608265</v>
      </c>
      <c r="I301" s="701">
        <v>412.5477500225449</v>
      </c>
      <c r="J301" s="701">
        <v>67.099999999999994</v>
      </c>
      <c r="K301" s="701">
        <v>27485.94</v>
      </c>
      <c r="L301" s="701">
        <v>1</v>
      </c>
      <c r="M301" s="701">
        <v>409.6265275707899</v>
      </c>
      <c r="N301" s="701">
        <v>58.599999999999994</v>
      </c>
      <c r="O301" s="701">
        <v>14150.160000000002</v>
      </c>
      <c r="P301" s="723">
        <v>0.51481448333220559</v>
      </c>
      <c r="Q301" s="702">
        <v>241.47030716723555</v>
      </c>
    </row>
    <row r="302" spans="1:17" ht="14.4" customHeight="1" x14ac:dyDescent="0.3">
      <c r="A302" s="696" t="s">
        <v>505</v>
      </c>
      <c r="B302" s="697" t="s">
        <v>2707</v>
      </c>
      <c r="C302" s="697" t="s">
        <v>3145</v>
      </c>
      <c r="D302" s="697" t="s">
        <v>3221</v>
      </c>
      <c r="E302" s="697" t="s">
        <v>1682</v>
      </c>
      <c r="F302" s="701">
        <v>261.39999999999998</v>
      </c>
      <c r="G302" s="701">
        <v>57298.87999999999</v>
      </c>
      <c r="H302" s="701">
        <v>1.3004975124378109</v>
      </c>
      <c r="I302" s="701">
        <v>219.2</v>
      </c>
      <c r="J302" s="701">
        <v>201</v>
      </c>
      <c r="K302" s="701">
        <v>44059.199999999997</v>
      </c>
      <c r="L302" s="701">
        <v>1</v>
      </c>
      <c r="M302" s="701">
        <v>219.2</v>
      </c>
      <c r="N302" s="701">
        <v>277.10000000000002</v>
      </c>
      <c r="O302" s="701">
        <v>52756.960000000006</v>
      </c>
      <c r="P302" s="723">
        <v>1.1974107564367944</v>
      </c>
      <c r="Q302" s="702">
        <v>190.38960664020209</v>
      </c>
    </row>
    <row r="303" spans="1:17" ht="14.4" customHeight="1" x14ac:dyDescent="0.3">
      <c r="A303" s="696" t="s">
        <v>505</v>
      </c>
      <c r="B303" s="697" t="s">
        <v>2707</v>
      </c>
      <c r="C303" s="697" t="s">
        <v>3145</v>
      </c>
      <c r="D303" s="697" t="s">
        <v>3222</v>
      </c>
      <c r="E303" s="697" t="s">
        <v>3223</v>
      </c>
      <c r="F303" s="701">
        <v>0.2</v>
      </c>
      <c r="G303" s="701">
        <v>1346.29</v>
      </c>
      <c r="H303" s="701"/>
      <c r="I303" s="701">
        <v>6731.45</v>
      </c>
      <c r="J303" s="701"/>
      <c r="K303" s="701"/>
      <c r="L303" s="701"/>
      <c r="M303" s="701"/>
      <c r="N303" s="701"/>
      <c r="O303" s="701"/>
      <c r="P303" s="723"/>
      <c r="Q303" s="702"/>
    </row>
    <row r="304" spans="1:17" ht="14.4" customHeight="1" x14ac:dyDescent="0.3">
      <c r="A304" s="696" t="s">
        <v>505</v>
      </c>
      <c r="B304" s="697" t="s">
        <v>2707</v>
      </c>
      <c r="C304" s="697" t="s">
        <v>3145</v>
      </c>
      <c r="D304" s="697" t="s">
        <v>3224</v>
      </c>
      <c r="E304" s="697" t="s">
        <v>3225</v>
      </c>
      <c r="F304" s="701">
        <v>44.5</v>
      </c>
      <c r="G304" s="701">
        <v>459662.3</v>
      </c>
      <c r="H304" s="701">
        <v>0.4847921609818322</v>
      </c>
      <c r="I304" s="701">
        <v>10329.48988764045</v>
      </c>
      <c r="J304" s="701">
        <v>96</v>
      </c>
      <c r="K304" s="701">
        <v>948163.64</v>
      </c>
      <c r="L304" s="701">
        <v>1</v>
      </c>
      <c r="M304" s="701">
        <v>9876.7045833333341</v>
      </c>
      <c r="N304" s="701">
        <v>57</v>
      </c>
      <c r="O304" s="701">
        <v>292906.28000000003</v>
      </c>
      <c r="P304" s="723">
        <v>0.30891954473175121</v>
      </c>
      <c r="Q304" s="702">
        <v>5138.7066666666669</v>
      </c>
    </row>
    <row r="305" spans="1:17" ht="14.4" customHeight="1" x14ac:dyDescent="0.3">
      <c r="A305" s="696" t="s">
        <v>505</v>
      </c>
      <c r="B305" s="697" t="s">
        <v>2707</v>
      </c>
      <c r="C305" s="697" t="s">
        <v>3145</v>
      </c>
      <c r="D305" s="697" t="s">
        <v>3226</v>
      </c>
      <c r="E305" s="697" t="s">
        <v>1291</v>
      </c>
      <c r="F305" s="701">
        <v>31</v>
      </c>
      <c r="G305" s="701">
        <v>98356.18</v>
      </c>
      <c r="H305" s="701">
        <v>0.86111111111111105</v>
      </c>
      <c r="I305" s="701">
        <v>3172.7799999999997</v>
      </c>
      <c r="J305" s="701">
        <v>36</v>
      </c>
      <c r="K305" s="701">
        <v>114220.08</v>
      </c>
      <c r="L305" s="701">
        <v>1</v>
      </c>
      <c r="M305" s="701">
        <v>3172.78</v>
      </c>
      <c r="N305" s="701">
        <v>19</v>
      </c>
      <c r="O305" s="701">
        <v>52249.06</v>
      </c>
      <c r="P305" s="723">
        <v>0.45744198393137175</v>
      </c>
      <c r="Q305" s="702">
        <v>2749.9505263157894</v>
      </c>
    </row>
    <row r="306" spans="1:17" ht="14.4" customHeight="1" x14ac:dyDescent="0.3">
      <c r="A306" s="696" t="s">
        <v>505</v>
      </c>
      <c r="B306" s="697" t="s">
        <v>2707</v>
      </c>
      <c r="C306" s="697" t="s">
        <v>3145</v>
      </c>
      <c r="D306" s="697" t="s">
        <v>3227</v>
      </c>
      <c r="E306" s="697" t="s">
        <v>1701</v>
      </c>
      <c r="F306" s="701"/>
      <c r="G306" s="701"/>
      <c r="H306" s="701"/>
      <c r="I306" s="701"/>
      <c r="J306" s="701">
        <v>30.699999999999996</v>
      </c>
      <c r="K306" s="701">
        <v>24507.309999999998</v>
      </c>
      <c r="L306" s="701">
        <v>1</v>
      </c>
      <c r="M306" s="701">
        <v>798.28371335504892</v>
      </c>
      <c r="N306" s="701">
        <v>43.7</v>
      </c>
      <c r="O306" s="701">
        <v>25075.05</v>
      </c>
      <c r="P306" s="723">
        <v>1.0231661492020137</v>
      </c>
      <c r="Q306" s="702">
        <v>573.79977116704799</v>
      </c>
    </row>
    <row r="307" spans="1:17" ht="14.4" customHeight="1" x14ac:dyDescent="0.3">
      <c r="A307" s="696" t="s">
        <v>505</v>
      </c>
      <c r="B307" s="697" t="s">
        <v>2707</v>
      </c>
      <c r="C307" s="697" t="s">
        <v>3145</v>
      </c>
      <c r="D307" s="697" t="s">
        <v>3228</v>
      </c>
      <c r="E307" s="697"/>
      <c r="F307" s="701">
        <v>82</v>
      </c>
      <c r="G307" s="701">
        <v>5391.5</v>
      </c>
      <c r="H307" s="701"/>
      <c r="I307" s="701">
        <v>65.75</v>
      </c>
      <c r="J307" s="701"/>
      <c r="K307" s="701"/>
      <c r="L307" s="701"/>
      <c r="M307" s="701"/>
      <c r="N307" s="701"/>
      <c r="O307" s="701"/>
      <c r="P307" s="723"/>
      <c r="Q307" s="702"/>
    </row>
    <row r="308" spans="1:17" ht="14.4" customHeight="1" x14ac:dyDescent="0.3">
      <c r="A308" s="696" t="s">
        <v>505</v>
      </c>
      <c r="B308" s="697" t="s">
        <v>2707</v>
      </c>
      <c r="C308" s="697" t="s">
        <v>3145</v>
      </c>
      <c r="D308" s="697" t="s">
        <v>3229</v>
      </c>
      <c r="E308" s="697" t="s">
        <v>1291</v>
      </c>
      <c r="F308" s="701"/>
      <c r="G308" s="701"/>
      <c r="H308" s="701"/>
      <c r="I308" s="701"/>
      <c r="J308" s="701">
        <v>23</v>
      </c>
      <c r="K308" s="701">
        <v>145948.10999999999</v>
      </c>
      <c r="L308" s="701">
        <v>1</v>
      </c>
      <c r="M308" s="701">
        <v>6345.57</v>
      </c>
      <c r="N308" s="701">
        <v>17</v>
      </c>
      <c r="O308" s="701">
        <v>107874.68999999999</v>
      </c>
      <c r="P308" s="723">
        <v>0.73913043478260865</v>
      </c>
      <c r="Q308" s="702">
        <v>6345.57</v>
      </c>
    </row>
    <row r="309" spans="1:17" ht="14.4" customHeight="1" x14ac:dyDescent="0.3">
      <c r="A309" s="696" t="s">
        <v>505</v>
      </c>
      <c r="B309" s="697" t="s">
        <v>2707</v>
      </c>
      <c r="C309" s="697" t="s">
        <v>3145</v>
      </c>
      <c r="D309" s="697" t="s">
        <v>3230</v>
      </c>
      <c r="E309" s="697" t="s">
        <v>3231</v>
      </c>
      <c r="F309" s="701">
        <v>7.3000000000000007</v>
      </c>
      <c r="G309" s="701">
        <v>4262.71</v>
      </c>
      <c r="H309" s="701"/>
      <c r="I309" s="701">
        <v>583.93287671232872</v>
      </c>
      <c r="J309" s="701"/>
      <c r="K309" s="701"/>
      <c r="L309" s="701"/>
      <c r="M309" s="701"/>
      <c r="N309" s="701"/>
      <c r="O309" s="701"/>
      <c r="P309" s="723"/>
      <c r="Q309" s="702"/>
    </row>
    <row r="310" spans="1:17" ht="14.4" customHeight="1" x14ac:dyDescent="0.3">
      <c r="A310" s="696" t="s">
        <v>505</v>
      </c>
      <c r="B310" s="697" t="s">
        <v>2707</v>
      </c>
      <c r="C310" s="697" t="s">
        <v>3145</v>
      </c>
      <c r="D310" s="697" t="s">
        <v>3232</v>
      </c>
      <c r="E310" s="697" t="s">
        <v>1656</v>
      </c>
      <c r="F310" s="701"/>
      <c r="G310" s="701"/>
      <c r="H310" s="701"/>
      <c r="I310" s="701"/>
      <c r="J310" s="701">
        <v>185</v>
      </c>
      <c r="K310" s="701">
        <v>12163.75</v>
      </c>
      <c r="L310" s="701">
        <v>1</v>
      </c>
      <c r="M310" s="701">
        <v>65.75</v>
      </c>
      <c r="N310" s="701">
        <v>159</v>
      </c>
      <c r="O310" s="701">
        <v>7674.6900000000005</v>
      </c>
      <c r="P310" s="723">
        <v>0.63094769294008846</v>
      </c>
      <c r="Q310" s="702">
        <v>48.268490566037741</v>
      </c>
    </row>
    <row r="311" spans="1:17" ht="14.4" customHeight="1" x14ac:dyDescent="0.3">
      <c r="A311" s="696" t="s">
        <v>505</v>
      </c>
      <c r="B311" s="697" t="s">
        <v>2707</v>
      </c>
      <c r="C311" s="697" t="s">
        <v>3145</v>
      </c>
      <c r="D311" s="697" t="s">
        <v>3233</v>
      </c>
      <c r="E311" s="697" t="s">
        <v>3176</v>
      </c>
      <c r="F311" s="701"/>
      <c r="G311" s="701"/>
      <c r="H311" s="701"/>
      <c r="I311" s="701"/>
      <c r="J311" s="701">
        <v>0.1</v>
      </c>
      <c r="K311" s="701">
        <v>19.59</v>
      </c>
      <c r="L311" s="701">
        <v>1</v>
      </c>
      <c r="M311" s="701">
        <v>195.89999999999998</v>
      </c>
      <c r="N311" s="701"/>
      <c r="O311" s="701"/>
      <c r="P311" s="723"/>
      <c r="Q311" s="702"/>
    </row>
    <row r="312" spans="1:17" ht="14.4" customHeight="1" x14ac:dyDescent="0.3">
      <c r="A312" s="696" t="s">
        <v>505</v>
      </c>
      <c r="B312" s="697" t="s">
        <v>2707</v>
      </c>
      <c r="C312" s="697" t="s">
        <v>3145</v>
      </c>
      <c r="D312" s="697" t="s">
        <v>3234</v>
      </c>
      <c r="E312" s="697" t="s">
        <v>1650</v>
      </c>
      <c r="F312" s="701">
        <v>192.23000000000002</v>
      </c>
      <c r="G312" s="701">
        <v>408604.08</v>
      </c>
      <c r="H312" s="701">
        <v>0.94452632235196454</v>
      </c>
      <c r="I312" s="701">
        <v>2125.5999583831867</v>
      </c>
      <c r="J312" s="701">
        <v>203.52</v>
      </c>
      <c r="K312" s="701">
        <v>432602.11</v>
      </c>
      <c r="L312" s="701">
        <v>1</v>
      </c>
      <c r="M312" s="701">
        <v>2125.5999901729556</v>
      </c>
      <c r="N312" s="701">
        <v>207.82999999999996</v>
      </c>
      <c r="O312" s="701">
        <v>254353.87999999998</v>
      </c>
      <c r="P312" s="723">
        <v>0.58796264308558266</v>
      </c>
      <c r="Q312" s="702">
        <v>1223.855458788433</v>
      </c>
    </row>
    <row r="313" spans="1:17" ht="14.4" customHeight="1" x14ac:dyDescent="0.3">
      <c r="A313" s="696" t="s">
        <v>505</v>
      </c>
      <c r="B313" s="697" t="s">
        <v>2707</v>
      </c>
      <c r="C313" s="697" t="s">
        <v>3145</v>
      </c>
      <c r="D313" s="697" t="s">
        <v>3235</v>
      </c>
      <c r="E313" s="697" t="s">
        <v>1713</v>
      </c>
      <c r="F313" s="701">
        <v>16</v>
      </c>
      <c r="G313" s="701">
        <v>166277.6</v>
      </c>
      <c r="H313" s="701">
        <v>1.8670564321123519</v>
      </c>
      <c r="I313" s="701">
        <v>10392.35</v>
      </c>
      <c r="J313" s="701">
        <v>9</v>
      </c>
      <c r="K313" s="701">
        <v>89058.69</v>
      </c>
      <c r="L313" s="701">
        <v>1</v>
      </c>
      <c r="M313" s="701">
        <v>9895.41</v>
      </c>
      <c r="N313" s="701">
        <v>88</v>
      </c>
      <c r="O313" s="701">
        <v>698227.73</v>
      </c>
      <c r="P313" s="723">
        <v>7.8400853414753797</v>
      </c>
      <c r="Q313" s="702">
        <v>7934.4060227272721</v>
      </c>
    </row>
    <row r="314" spans="1:17" ht="14.4" customHeight="1" x14ac:dyDescent="0.3">
      <c r="A314" s="696" t="s">
        <v>505</v>
      </c>
      <c r="B314" s="697" t="s">
        <v>2707</v>
      </c>
      <c r="C314" s="697" t="s">
        <v>3145</v>
      </c>
      <c r="D314" s="697" t="s">
        <v>3236</v>
      </c>
      <c r="E314" s="697" t="s">
        <v>3214</v>
      </c>
      <c r="F314" s="701">
        <v>0.3</v>
      </c>
      <c r="G314" s="701">
        <v>58.77</v>
      </c>
      <c r="H314" s="701">
        <v>0.6</v>
      </c>
      <c r="I314" s="701">
        <v>195.9</v>
      </c>
      <c r="J314" s="701">
        <v>0.5</v>
      </c>
      <c r="K314" s="701">
        <v>97.95</v>
      </c>
      <c r="L314" s="701">
        <v>1</v>
      </c>
      <c r="M314" s="701">
        <v>195.9</v>
      </c>
      <c r="N314" s="701"/>
      <c r="O314" s="701"/>
      <c r="P314" s="723"/>
      <c r="Q314" s="702"/>
    </row>
    <row r="315" spans="1:17" ht="14.4" customHeight="1" x14ac:dyDescent="0.3">
      <c r="A315" s="696" t="s">
        <v>505</v>
      </c>
      <c r="B315" s="697" t="s">
        <v>2707</v>
      </c>
      <c r="C315" s="697" t="s">
        <v>3145</v>
      </c>
      <c r="D315" s="697" t="s">
        <v>3237</v>
      </c>
      <c r="E315" s="697" t="s">
        <v>1666</v>
      </c>
      <c r="F315" s="701">
        <v>7.2</v>
      </c>
      <c r="G315" s="701">
        <v>3013.8999999999996</v>
      </c>
      <c r="H315" s="701">
        <v>1.7107324493688127</v>
      </c>
      <c r="I315" s="701">
        <v>418.59722222222217</v>
      </c>
      <c r="J315" s="701">
        <v>4.4000000000000004</v>
      </c>
      <c r="K315" s="701">
        <v>1761.76</v>
      </c>
      <c r="L315" s="701">
        <v>1</v>
      </c>
      <c r="M315" s="701">
        <v>400.4</v>
      </c>
      <c r="N315" s="701">
        <v>1.7000000000000002</v>
      </c>
      <c r="O315" s="701">
        <v>261.8</v>
      </c>
      <c r="P315" s="723">
        <v>0.14860139860139862</v>
      </c>
      <c r="Q315" s="702">
        <v>154</v>
      </c>
    </row>
    <row r="316" spans="1:17" ht="14.4" customHeight="1" x14ac:dyDescent="0.3">
      <c r="A316" s="696" t="s">
        <v>505</v>
      </c>
      <c r="B316" s="697" t="s">
        <v>2707</v>
      </c>
      <c r="C316" s="697" t="s">
        <v>3145</v>
      </c>
      <c r="D316" s="697" t="s">
        <v>3238</v>
      </c>
      <c r="E316" s="697" t="s">
        <v>1666</v>
      </c>
      <c r="F316" s="701">
        <v>23.5</v>
      </c>
      <c r="G316" s="701">
        <v>21499.27</v>
      </c>
      <c r="H316" s="701">
        <v>1.1473179598179597</v>
      </c>
      <c r="I316" s="701">
        <v>914.86255319148938</v>
      </c>
      <c r="J316" s="701">
        <v>23.4</v>
      </c>
      <c r="K316" s="701">
        <v>18738.72</v>
      </c>
      <c r="L316" s="701">
        <v>1</v>
      </c>
      <c r="M316" s="701">
        <v>800.80000000000007</v>
      </c>
      <c r="N316" s="701">
        <v>22.3</v>
      </c>
      <c r="O316" s="701">
        <v>14294.44</v>
      </c>
      <c r="P316" s="723">
        <v>0.76282905129058975</v>
      </c>
      <c r="Q316" s="702">
        <v>641.00627802690587</v>
      </c>
    </row>
    <row r="317" spans="1:17" ht="14.4" customHeight="1" x14ac:dyDescent="0.3">
      <c r="A317" s="696" t="s">
        <v>505</v>
      </c>
      <c r="B317" s="697" t="s">
        <v>2707</v>
      </c>
      <c r="C317" s="697" t="s">
        <v>3145</v>
      </c>
      <c r="D317" s="697" t="s">
        <v>3239</v>
      </c>
      <c r="E317" s="697" t="s">
        <v>1682</v>
      </c>
      <c r="F317" s="701">
        <v>20</v>
      </c>
      <c r="G317" s="701">
        <v>2274.2599999999998</v>
      </c>
      <c r="H317" s="701">
        <v>0.35618236206167481</v>
      </c>
      <c r="I317" s="701">
        <v>113.71299999999999</v>
      </c>
      <c r="J317" s="701">
        <v>47</v>
      </c>
      <c r="K317" s="701">
        <v>6385.0999999999995</v>
      </c>
      <c r="L317" s="701">
        <v>1</v>
      </c>
      <c r="M317" s="701">
        <v>135.85319148936168</v>
      </c>
      <c r="N317" s="701">
        <v>42.1</v>
      </c>
      <c r="O317" s="701">
        <v>5465.44</v>
      </c>
      <c r="P317" s="723">
        <v>0.85596780003445527</v>
      </c>
      <c r="Q317" s="702">
        <v>129.82042755344418</v>
      </c>
    </row>
    <row r="318" spans="1:17" ht="14.4" customHeight="1" x14ac:dyDescent="0.3">
      <c r="A318" s="696" t="s">
        <v>505</v>
      </c>
      <c r="B318" s="697" t="s">
        <v>2707</v>
      </c>
      <c r="C318" s="697" t="s">
        <v>3145</v>
      </c>
      <c r="D318" s="697" t="s">
        <v>3240</v>
      </c>
      <c r="E318" s="697" t="s">
        <v>3241</v>
      </c>
      <c r="F318" s="701">
        <v>39.4</v>
      </c>
      <c r="G318" s="701">
        <v>13057.160000000002</v>
      </c>
      <c r="H318" s="701">
        <v>1.165336115516532</v>
      </c>
      <c r="I318" s="701">
        <v>331.40000000000003</v>
      </c>
      <c r="J318" s="701">
        <v>33.81</v>
      </c>
      <c r="K318" s="701">
        <v>11204.630000000001</v>
      </c>
      <c r="L318" s="701">
        <v>1</v>
      </c>
      <c r="M318" s="701">
        <v>331.39988169180714</v>
      </c>
      <c r="N318" s="701">
        <v>23.1</v>
      </c>
      <c r="O318" s="701">
        <v>5096.75</v>
      </c>
      <c r="P318" s="723">
        <v>0.45487892058907786</v>
      </c>
      <c r="Q318" s="702">
        <v>220.63852813852813</v>
      </c>
    </row>
    <row r="319" spans="1:17" ht="14.4" customHeight="1" x14ac:dyDescent="0.3">
      <c r="A319" s="696" t="s">
        <v>505</v>
      </c>
      <c r="B319" s="697" t="s">
        <v>2707</v>
      </c>
      <c r="C319" s="697" t="s">
        <v>3145</v>
      </c>
      <c r="D319" s="697" t="s">
        <v>3242</v>
      </c>
      <c r="E319" s="697" t="s">
        <v>3243</v>
      </c>
      <c r="F319" s="701"/>
      <c r="G319" s="701"/>
      <c r="H319" s="701"/>
      <c r="I319" s="701"/>
      <c r="J319" s="701">
        <v>16</v>
      </c>
      <c r="K319" s="701">
        <v>69038.559999999998</v>
      </c>
      <c r="L319" s="701">
        <v>1</v>
      </c>
      <c r="M319" s="701">
        <v>4314.91</v>
      </c>
      <c r="N319" s="701"/>
      <c r="O319" s="701"/>
      <c r="P319" s="723"/>
      <c r="Q319" s="702"/>
    </row>
    <row r="320" spans="1:17" ht="14.4" customHeight="1" x14ac:dyDescent="0.3">
      <c r="A320" s="696" t="s">
        <v>505</v>
      </c>
      <c r="B320" s="697" t="s">
        <v>2707</v>
      </c>
      <c r="C320" s="697" t="s">
        <v>3145</v>
      </c>
      <c r="D320" s="697" t="s">
        <v>3244</v>
      </c>
      <c r="E320" s="697" t="s">
        <v>1695</v>
      </c>
      <c r="F320" s="701">
        <v>3.9</v>
      </c>
      <c r="G320" s="701">
        <v>44045.98</v>
      </c>
      <c r="H320" s="701"/>
      <c r="I320" s="701">
        <v>11293.841025641026</v>
      </c>
      <c r="J320" s="701"/>
      <c r="K320" s="701"/>
      <c r="L320" s="701"/>
      <c r="M320" s="701"/>
      <c r="N320" s="701"/>
      <c r="O320" s="701"/>
      <c r="P320" s="723"/>
      <c r="Q320" s="702"/>
    </row>
    <row r="321" spans="1:17" ht="14.4" customHeight="1" x14ac:dyDescent="0.3">
      <c r="A321" s="696" t="s">
        <v>505</v>
      </c>
      <c r="B321" s="697" t="s">
        <v>2707</v>
      </c>
      <c r="C321" s="697" t="s">
        <v>3145</v>
      </c>
      <c r="D321" s="697" t="s">
        <v>3245</v>
      </c>
      <c r="E321" s="697" t="s">
        <v>1379</v>
      </c>
      <c r="F321" s="701"/>
      <c r="G321" s="701"/>
      <c r="H321" s="701"/>
      <c r="I321" s="701"/>
      <c r="J321" s="701"/>
      <c r="K321" s="701"/>
      <c r="L321" s="701"/>
      <c r="M321" s="701"/>
      <c r="N321" s="701">
        <v>54</v>
      </c>
      <c r="O321" s="701">
        <v>8648.64</v>
      </c>
      <c r="P321" s="723"/>
      <c r="Q321" s="702">
        <v>160.16</v>
      </c>
    </row>
    <row r="322" spans="1:17" ht="14.4" customHeight="1" x14ac:dyDescent="0.3">
      <c r="A322" s="696" t="s">
        <v>505</v>
      </c>
      <c r="B322" s="697" t="s">
        <v>2707</v>
      </c>
      <c r="C322" s="697" t="s">
        <v>3145</v>
      </c>
      <c r="D322" s="697" t="s">
        <v>3246</v>
      </c>
      <c r="E322" s="697" t="s">
        <v>1675</v>
      </c>
      <c r="F322" s="701">
        <v>21.05</v>
      </c>
      <c r="G322" s="701">
        <v>16626.330000000002</v>
      </c>
      <c r="H322" s="701">
        <v>1.2167616457644348</v>
      </c>
      <c r="I322" s="701">
        <v>789.84940617577206</v>
      </c>
      <c r="J322" s="701">
        <v>17.3</v>
      </c>
      <c r="K322" s="701">
        <v>13664.41</v>
      </c>
      <c r="L322" s="701">
        <v>1</v>
      </c>
      <c r="M322" s="701">
        <v>789.85028901734097</v>
      </c>
      <c r="N322" s="701">
        <v>23.099999999999998</v>
      </c>
      <c r="O322" s="701">
        <v>15179.89</v>
      </c>
      <c r="P322" s="723">
        <v>1.1109070936835179</v>
      </c>
      <c r="Q322" s="702">
        <v>657.13809523809527</v>
      </c>
    </row>
    <row r="323" spans="1:17" ht="14.4" customHeight="1" x14ac:dyDescent="0.3">
      <c r="A323" s="696" t="s">
        <v>505</v>
      </c>
      <c r="B323" s="697" t="s">
        <v>2707</v>
      </c>
      <c r="C323" s="697" t="s">
        <v>3145</v>
      </c>
      <c r="D323" s="697" t="s">
        <v>3247</v>
      </c>
      <c r="E323" s="697" t="s">
        <v>1663</v>
      </c>
      <c r="F323" s="701">
        <v>97.65</v>
      </c>
      <c r="G323" s="701">
        <v>318704.09999999998</v>
      </c>
      <c r="H323" s="701">
        <v>0.72764440085179194</v>
      </c>
      <c r="I323" s="701">
        <v>3263.7388632872498</v>
      </c>
      <c r="J323" s="701">
        <v>134.19999999999999</v>
      </c>
      <c r="K323" s="701">
        <v>437994.29999999993</v>
      </c>
      <c r="L323" s="701">
        <v>1</v>
      </c>
      <c r="M323" s="701">
        <v>3263.7429210134128</v>
      </c>
      <c r="N323" s="701">
        <v>158.9</v>
      </c>
      <c r="O323" s="701">
        <v>307536.82000000007</v>
      </c>
      <c r="P323" s="723">
        <v>0.70214799598990241</v>
      </c>
      <c r="Q323" s="702">
        <v>1935.4110761485215</v>
      </c>
    </row>
    <row r="324" spans="1:17" ht="14.4" customHeight="1" x14ac:dyDescent="0.3">
      <c r="A324" s="696" t="s">
        <v>505</v>
      </c>
      <c r="B324" s="697" t="s">
        <v>2707</v>
      </c>
      <c r="C324" s="697" t="s">
        <v>3145</v>
      </c>
      <c r="D324" s="697" t="s">
        <v>3248</v>
      </c>
      <c r="E324" s="697" t="s">
        <v>1397</v>
      </c>
      <c r="F324" s="701">
        <v>0.2</v>
      </c>
      <c r="G324" s="701">
        <v>77.319999999999993</v>
      </c>
      <c r="H324" s="701">
        <v>0.19999999999999998</v>
      </c>
      <c r="I324" s="701">
        <v>386.59999999999997</v>
      </c>
      <c r="J324" s="701">
        <v>1</v>
      </c>
      <c r="K324" s="701">
        <v>386.6</v>
      </c>
      <c r="L324" s="701">
        <v>1</v>
      </c>
      <c r="M324" s="701">
        <v>386.6</v>
      </c>
      <c r="N324" s="701">
        <v>4.7</v>
      </c>
      <c r="O324" s="701">
        <v>1512.58</v>
      </c>
      <c r="P324" s="723">
        <v>3.9125193998965333</v>
      </c>
      <c r="Q324" s="702">
        <v>321.82553191489359</v>
      </c>
    </row>
    <row r="325" spans="1:17" ht="14.4" customHeight="1" x14ac:dyDescent="0.3">
      <c r="A325" s="696" t="s">
        <v>505</v>
      </c>
      <c r="B325" s="697" t="s">
        <v>2707</v>
      </c>
      <c r="C325" s="697" t="s">
        <v>3145</v>
      </c>
      <c r="D325" s="697" t="s">
        <v>3248</v>
      </c>
      <c r="E325" s="697" t="s">
        <v>3249</v>
      </c>
      <c r="F325" s="701"/>
      <c r="G325" s="701"/>
      <c r="H325" s="701"/>
      <c r="I325" s="701"/>
      <c r="J325" s="701">
        <v>6.11</v>
      </c>
      <c r="K325" s="701">
        <v>2362.13</v>
      </c>
      <c r="L325" s="701">
        <v>1</v>
      </c>
      <c r="M325" s="701">
        <v>386.60065466448447</v>
      </c>
      <c r="N325" s="701"/>
      <c r="O325" s="701"/>
      <c r="P325" s="723"/>
      <c r="Q325" s="702"/>
    </row>
    <row r="326" spans="1:17" ht="14.4" customHeight="1" x14ac:dyDescent="0.3">
      <c r="A326" s="696" t="s">
        <v>505</v>
      </c>
      <c r="B326" s="697" t="s">
        <v>2707</v>
      </c>
      <c r="C326" s="697" t="s">
        <v>3145</v>
      </c>
      <c r="D326" s="697" t="s">
        <v>3250</v>
      </c>
      <c r="E326" s="697" t="s">
        <v>3251</v>
      </c>
      <c r="F326" s="701">
        <v>18</v>
      </c>
      <c r="G326" s="701">
        <v>42006.6</v>
      </c>
      <c r="H326" s="701"/>
      <c r="I326" s="701">
        <v>2333.6999999999998</v>
      </c>
      <c r="J326" s="701"/>
      <c r="K326" s="701"/>
      <c r="L326" s="701"/>
      <c r="M326" s="701"/>
      <c r="N326" s="701">
        <v>10</v>
      </c>
      <c r="O326" s="701">
        <v>23337</v>
      </c>
      <c r="P326" s="723"/>
      <c r="Q326" s="702">
        <v>2333.6999999999998</v>
      </c>
    </row>
    <row r="327" spans="1:17" ht="14.4" customHeight="1" x14ac:dyDescent="0.3">
      <c r="A327" s="696" t="s">
        <v>505</v>
      </c>
      <c r="B327" s="697" t="s">
        <v>2707</v>
      </c>
      <c r="C327" s="697" t="s">
        <v>3145</v>
      </c>
      <c r="D327" s="697" t="s">
        <v>3252</v>
      </c>
      <c r="E327" s="697" t="s">
        <v>1416</v>
      </c>
      <c r="F327" s="701"/>
      <c r="G327" s="701"/>
      <c r="H327" s="701"/>
      <c r="I327" s="701"/>
      <c r="J327" s="701"/>
      <c r="K327" s="701"/>
      <c r="L327" s="701"/>
      <c r="M327" s="701"/>
      <c r="N327" s="701">
        <v>44</v>
      </c>
      <c r="O327" s="701">
        <v>17732.120000000003</v>
      </c>
      <c r="P327" s="723"/>
      <c r="Q327" s="702">
        <v>403.00272727272733</v>
      </c>
    </row>
    <row r="328" spans="1:17" ht="14.4" customHeight="1" x14ac:dyDescent="0.3">
      <c r="A328" s="696" t="s">
        <v>505</v>
      </c>
      <c r="B328" s="697" t="s">
        <v>2707</v>
      </c>
      <c r="C328" s="697" t="s">
        <v>3145</v>
      </c>
      <c r="D328" s="697" t="s">
        <v>3253</v>
      </c>
      <c r="E328" s="697" t="s">
        <v>3254</v>
      </c>
      <c r="F328" s="701"/>
      <c r="G328" s="701"/>
      <c r="H328" s="701"/>
      <c r="I328" s="701"/>
      <c r="J328" s="701">
        <v>35</v>
      </c>
      <c r="K328" s="701">
        <v>302044.05</v>
      </c>
      <c r="L328" s="701">
        <v>1</v>
      </c>
      <c r="M328" s="701">
        <v>8629.83</v>
      </c>
      <c r="N328" s="701"/>
      <c r="O328" s="701"/>
      <c r="P328" s="723"/>
      <c r="Q328" s="702"/>
    </row>
    <row r="329" spans="1:17" ht="14.4" customHeight="1" x14ac:dyDescent="0.3">
      <c r="A329" s="696" t="s">
        <v>505</v>
      </c>
      <c r="B329" s="697" t="s">
        <v>2707</v>
      </c>
      <c r="C329" s="697" t="s">
        <v>3145</v>
      </c>
      <c r="D329" s="697" t="s">
        <v>3255</v>
      </c>
      <c r="E329" s="697" t="s">
        <v>3256</v>
      </c>
      <c r="F329" s="701"/>
      <c r="G329" s="701"/>
      <c r="H329" s="701"/>
      <c r="I329" s="701"/>
      <c r="J329" s="701">
        <v>3</v>
      </c>
      <c r="K329" s="701">
        <v>38262.33</v>
      </c>
      <c r="L329" s="701">
        <v>1</v>
      </c>
      <c r="M329" s="701">
        <v>12754.11</v>
      </c>
      <c r="N329" s="701"/>
      <c r="O329" s="701"/>
      <c r="P329" s="723"/>
      <c r="Q329" s="702"/>
    </row>
    <row r="330" spans="1:17" ht="14.4" customHeight="1" x14ac:dyDescent="0.3">
      <c r="A330" s="696" t="s">
        <v>505</v>
      </c>
      <c r="B330" s="697" t="s">
        <v>2707</v>
      </c>
      <c r="C330" s="697" t="s">
        <v>3145</v>
      </c>
      <c r="D330" s="697" t="s">
        <v>3257</v>
      </c>
      <c r="E330" s="697" t="s">
        <v>3258</v>
      </c>
      <c r="F330" s="701"/>
      <c r="G330" s="701"/>
      <c r="H330" s="701"/>
      <c r="I330" s="701"/>
      <c r="J330" s="701">
        <v>1</v>
      </c>
      <c r="K330" s="701">
        <v>12551.49</v>
      </c>
      <c r="L330" s="701">
        <v>1</v>
      </c>
      <c r="M330" s="701">
        <v>12551.49</v>
      </c>
      <c r="N330" s="701"/>
      <c r="O330" s="701"/>
      <c r="P330" s="723"/>
      <c r="Q330" s="702"/>
    </row>
    <row r="331" spans="1:17" ht="14.4" customHeight="1" x14ac:dyDescent="0.3">
      <c r="A331" s="696" t="s">
        <v>505</v>
      </c>
      <c r="B331" s="697" t="s">
        <v>2707</v>
      </c>
      <c r="C331" s="697" t="s">
        <v>3145</v>
      </c>
      <c r="D331" s="697" t="s">
        <v>3259</v>
      </c>
      <c r="E331" s="697" t="s">
        <v>1307</v>
      </c>
      <c r="F331" s="701"/>
      <c r="G331" s="701"/>
      <c r="H331" s="701"/>
      <c r="I331" s="701"/>
      <c r="J331" s="701"/>
      <c r="K331" s="701"/>
      <c r="L331" s="701"/>
      <c r="M331" s="701"/>
      <c r="N331" s="701">
        <v>3</v>
      </c>
      <c r="O331" s="701">
        <v>19391.88</v>
      </c>
      <c r="P331" s="723"/>
      <c r="Q331" s="702">
        <v>6463.96</v>
      </c>
    </row>
    <row r="332" spans="1:17" ht="14.4" customHeight="1" x14ac:dyDescent="0.3">
      <c r="A332" s="696" t="s">
        <v>505</v>
      </c>
      <c r="B332" s="697" t="s">
        <v>2707</v>
      </c>
      <c r="C332" s="697" t="s">
        <v>3145</v>
      </c>
      <c r="D332" s="697" t="s">
        <v>3260</v>
      </c>
      <c r="E332" s="697" t="s">
        <v>3243</v>
      </c>
      <c r="F332" s="701"/>
      <c r="G332" s="701"/>
      <c r="H332" s="701"/>
      <c r="I332" s="701"/>
      <c r="J332" s="701">
        <v>3</v>
      </c>
      <c r="K332" s="701">
        <v>12944.73</v>
      </c>
      <c r="L332" s="701">
        <v>1</v>
      </c>
      <c r="M332" s="701">
        <v>4314.91</v>
      </c>
      <c r="N332" s="701"/>
      <c r="O332" s="701"/>
      <c r="P332" s="723"/>
      <c r="Q332" s="702"/>
    </row>
    <row r="333" spans="1:17" ht="14.4" customHeight="1" x14ac:dyDescent="0.3">
      <c r="A333" s="696" t="s">
        <v>505</v>
      </c>
      <c r="B333" s="697" t="s">
        <v>2707</v>
      </c>
      <c r="C333" s="697" t="s">
        <v>3145</v>
      </c>
      <c r="D333" s="697" t="s">
        <v>3261</v>
      </c>
      <c r="E333" s="697" t="s">
        <v>3256</v>
      </c>
      <c r="F333" s="701"/>
      <c r="G333" s="701"/>
      <c r="H333" s="701"/>
      <c r="I333" s="701"/>
      <c r="J333" s="701">
        <v>6</v>
      </c>
      <c r="K333" s="701">
        <v>38262.36</v>
      </c>
      <c r="L333" s="701">
        <v>1</v>
      </c>
      <c r="M333" s="701">
        <v>6377.06</v>
      </c>
      <c r="N333" s="701"/>
      <c r="O333" s="701"/>
      <c r="P333" s="723"/>
      <c r="Q333" s="702"/>
    </row>
    <row r="334" spans="1:17" ht="14.4" customHeight="1" x14ac:dyDescent="0.3">
      <c r="A334" s="696" t="s">
        <v>505</v>
      </c>
      <c r="B334" s="697" t="s">
        <v>2707</v>
      </c>
      <c r="C334" s="697" t="s">
        <v>3145</v>
      </c>
      <c r="D334" s="697" t="s">
        <v>3262</v>
      </c>
      <c r="E334" s="697" t="s">
        <v>1299</v>
      </c>
      <c r="F334" s="701"/>
      <c r="G334" s="701"/>
      <c r="H334" s="701"/>
      <c r="I334" s="701"/>
      <c r="J334" s="701">
        <v>5</v>
      </c>
      <c r="K334" s="701">
        <v>49620</v>
      </c>
      <c r="L334" s="701">
        <v>1</v>
      </c>
      <c r="M334" s="701">
        <v>9924</v>
      </c>
      <c r="N334" s="701">
        <v>18</v>
      </c>
      <c r="O334" s="701">
        <v>178632</v>
      </c>
      <c r="P334" s="723">
        <v>3.6</v>
      </c>
      <c r="Q334" s="702">
        <v>9924</v>
      </c>
    </row>
    <row r="335" spans="1:17" ht="14.4" customHeight="1" x14ac:dyDescent="0.3">
      <c r="A335" s="696" t="s">
        <v>505</v>
      </c>
      <c r="B335" s="697" t="s">
        <v>2707</v>
      </c>
      <c r="C335" s="697" t="s">
        <v>3145</v>
      </c>
      <c r="D335" s="697" t="s">
        <v>3263</v>
      </c>
      <c r="E335" s="697" t="s">
        <v>1398</v>
      </c>
      <c r="F335" s="701"/>
      <c r="G335" s="701"/>
      <c r="H335" s="701"/>
      <c r="I335" s="701"/>
      <c r="J335" s="701">
        <v>3.4</v>
      </c>
      <c r="K335" s="701">
        <v>75225.259999999995</v>
      </c>
      <c r="L335" s="701">
        <v>1</v>
      </c>
      <c r="M335" s="701">
        <v>22125.076470588236</v>
      </c>
      <c r="N335" s="701">
        <v>1.6</v>
      </c>
      <c r="O335" s="701">
        <v>35190.720000000001</v>
      </c>
      <c r="P335" s="723">
        <v>0.46780456458375824</v>
      </c>
      <c r="Q335" s="702">
        <v>21994.2</v>
      </c>
    </row>
    <row r="336" spans="1:17" ht="14.4" customHeight="1" x14ac:dyDescent="0.3">
      <c r="A336" s="696" t="s">
        <v>505</v>
      </c>
      <c r="B336" s="697" t="s">
        <v>2707</v>
      </c>
      <c r="C336" s="697" t="s">
        <v>3145</v>
      </c>
      <c r="D336" s="697" t="s">
        <v>3264</v>
      </c>
      <c r="E336" s="697" t="s">
        <v>1305</v>
      </c>
      <c r="F336" s="701"/>
      <c r="G336" s="701"/>
      <c r="H336" s="701"/>
      <c r="I336" s="701"/>
      <c r="J336" s="701"/>
      <c r="K336" s="701"/>
      <c r="L336" s="701"/>
      <c r="M336" s="701"/>
      <c r="N336" s="701">
        <v>1</v>
      </c>
      <c r="O336" s="701">
        <v>6812.08</v>
      </c>
      <c r="P336" s="723"/>
      <c r="Q336" s="702">
        <v>6812.08</v>
      </c>
    </row>
    <row r="337" spans="1:17" ht="14.4" customHeight="1" x14ac:dyDescent="0.3">
      <c r="A337" s="696" t="s">
        <v>505</v>
      </c>
      <c r="B337" s="697" t="s">
        <v>2707</v>
      </c>
      <c r="C337" s="697" t="s">
        <v>3145</v>
      </c>
      <c r="D337" s="697" t="s">
        <v>3265</v>
      </c>
      <c r="E337" s="697" t="s">
        <v>3266</v>
      </c>
      <c r="F337" s="701"/>
      <c r="G337" s="701"/>
      <c r="H337" s="701"/>
      <c r="I337" s="701"/>
      <c r="J337" s="701">
        <v>13</v>
      </c>
      <c r="K337" s="701">
        <v>2737.41</v>
      </c>
      <c r="L337" s="701">
        <v>1</v>
      </c>
      <c r="M337" s="701">
        <v>210.57</v>
      </c>
      <c r="N337" s="701"/>
      <c r="O337" s="701"/>
      <c r="P337" s="723"/>
      <c r="Q337" s="702"/>
    </row>
    <row r="338" spans="1:17" ht="14.4" customHeight="1" x14ac:dyDescent="0.3">
      <c r="A338" s="696" t="s">
        <v>505</v>
      </c>
      <c r="B338" s="697" t="s">
        <v>2707</v>
      </c>
      <c r="C338" s="697" t="s">
        <v>3145</v>
      </c>
      <c r="D338" s="697" t="s">
        <v>3267</v>
      </c>
      <c r="E338" s="697" t="s">
        <v>1302</v>
      </c>
      <c r="F338" s="701"/>
      <c r="G338" s="701"/>
      <c r="H338" s="701"/>
      <c r="I338" s="701"/>
      <c r="J338" s="701"/>
      <c r="K338" s="701"/>
      <c r="L338" s="701"/>
      <c r="M338" s="701"/>
      <c r="N338" s="701">
        <v>3</v>
      </c>
      <c r="O338" s="701">
        <v>6705</v>
      </c>
      <c r="P338" s="723"/>
      <c r="Q338" s="702">
        <v>2235</v>
      </c>
    </row>
    <row r="339" spans="1:17" ht="14.4" customHeight="1" x14ac:dyDescent="0.3">
      <c r="A339" s="696" t="s">
        <v>505</v>
      </c>
      <c r="B339" s="697" t="s">
        <v>2707</v>
      </c>
      <c r="C339" s="697" t="s">
        <v>3145</v>
      </c>
      <c r="D339" s="697" t="s">
        <v>3268</v>
      </c>
      <c r="E339" s="697" t="s">
        <v>3266</v>
      </c>
      <c r="F339" s="701"/>
      <c r="G339" s="701"/>
      <c r="H339" s="701"/>
      <c r="I339" s="701"/>
      <c r="J339" s="701"/>
      <c r="K339" s="701"/>
      <c r="L339" s="701"/>
      <c r="M339" s="701"/>
      <c r="N339" s="701">
        <v>43</v>
      </c>
      <c r="O339" s="701">
        <v>18109.88</v>
      </c>
      <c r="P339" s="723"/>
      <c r="Q339" s="702">
        <v>421.16</v>
      </c>
    </row>
    <row r="340" spans="1:17" ht="14.4" customHeight="1" x14ac:dyDescent="0.3">
      <c r="A340" s="696" t="s">
        <v>505</v>
      </c>
      <c r="B340" s="697" t="s">
        <v>2707</v>
      </c>
      <c r="C340" s="697" t="s">
        <v>3145</v>
      </c>
      <c r="D340" s="697" t="s">
        <v>3269</v>
      </c>
      <c r="E340" s="697" t="s">
        <v>3270</v>
      </c>
      <c r="F340" s="701"/>
      <c r="G340" s="701"/>
      <c r="H340" s="701"/>
      <c r="I340" s="701"/>
      <c r="J340" s="701">
        <v>0.5</v>
      </c>
      <c r="K340" s="701">
        <v>93.62</v>
      </c>
      <c r="L340" s="701">
        <v>1</v>
      </c>
      <c r="M340" s="701">
        <v>187.24</v>
      </c>
      <c r="N340" s="701"/>
      <c r="O340" s="701"/>
      <c r="P340" s="723"/>
      <c r="Q340" s="702"/>
    </row>
    <row r="341" spans="1:17" ht="14.4" customHeight="1" x14ac:dyDescent="0.3">
      <c r="A341" s="696" t="s">
        <v>505</v>
      </c>
      <c r="B341" s="697" t="s">
        <v>2707</v>
      </c>
      <c r="C341" s="697" t="s">
        <v>3145</v>
      </c>
      <c r="D341" s="697" t="s">
        <v>3271</v>
      </c>
      <c r="E341" s="697" t="s">
        <v>1666</v>
      </c>
      <c r="F341" s="701"/>
      <c r="G341" s="701"/>
      <c r="H341" s="701"/>
      <c r="I341" s="701"/>
      <c r="J341" s="701"/>
      <c r="K341" s="701"/>
      <c r="L341" s="701"/>
      <c r="M341" s="701"/>
      <c r="N341" s="701">
        <v>0.2</v>
      </c>
      <c r="O341" s="701">
        <v>323.8</v>
      </c>
      <c r="P341" s="723"/>
      <c r="Q341" s="702">
        <v>1619</v>
      </c>
    </row>
    <row r="342" spans="1:17" ht="14.4" customHeight="1" x14ac:dyDescent="0.3">
      <c r="A342" s="696" t="s">
        <v>505</v>
      </c>
      <c r="B342" s="697" t="s">
        <v>2707</v>
      </c>
      <c r="C342" s="697" t="s">
        <v>3272</v>
      </c>
      <c r="D342" s="697" t="s">
        <v>3273</v>
      </c>
      <c r="E342" s="697" t="s">
        <v>3274</v>
      </c>
      <c r="F342" s="701">
        <v>12</v>
      </c>
      <c r="G342" s="701">
        <v>15683.04</v>
      </c>
      <c r="H342" s="701">
        <v>2.7873824300978951</v>
      </c>
      <c r="I342" s="701">
        <v>1306.92</v>
      </c>
      <c r="J342" s="701">
        <v>4</v>
      </c>
      <c r="K342" s="701">
        <v>5626.44</v>
      </c>
      <c r="L342" s="701">
        <v>1</v>
      </c>
      <c r="M342" s="701">
        <v>1406.61</v>
      </c>
      <c r="N342" s="701">
        <v>1</v>
      </c>
      <c r="O342" s="701">
        <v>1421.32</v>
      </c>
      <c r="P342" s="723">
        <v>0.25261444181400672</v>
      </c>
      <c r="Q342" s="702">
        <v>1421.32</v>
      </c>
    </row>
    <row r="343" spans="1:17" ht="14.4" customHeight="1" x14ac:dyDescent="0.3">
      <c r="A343" s="696" t="s">
        <v>505</v>
      </c>
      <c r="B343" s="697" t="s">
        <v>2707</v>
      </c>
      <c r="C343" s="697" t="s">
        <v>3272</v>
      </c>
      <c r="D343" s="697" t="s">
        <v>3275</v>
      </c>
      <c r="E343" s="697" t="s">
        <v>3276</v>
      </c>
      <c r="F343" s="701">
        <v>1293</v>
      </c>
      <c r="G343" s="701">
        <v>2594022.4900000002</v>
      </c>
      <c r="H343" s="701">
        <v>1.3574778349575909</v>
      </c>
      <c r="I343" s="701">
        <v>2006.2045552977572</v>
      </c>
      <c r="J343" s="701">
        <v>885</v>
      </c>
      <c r="K343" s="701">
        <v>1910913.3299999998</v>
      </c>
      <c r="L343" s="701">
        <v>1</v>
      </c>
      <c r="M343" s="701">
        <v>2159.2241016949151</v>
      </c>
      <c r="N343" s="701">
        <v>816</v>
      </c>
      <c r="O343" s="701">
        <v>1768334.4</v>
      </c>
      <c r="P343" s="723">
        <v>0.92538702422469366</v>
      </c>
      <c r="Q343" s="702">
        <v>2167.0764705882352</v>
      </c>
    </row>
    <row r="344" spans="1:17" ht="14.4" customHeight="1" x14ac:dyDescent="0.3">
      <c r="A344" s="696" t="s">
        <v>505</v>
      </c>
      <c r="B344" s="697" t="s">
        <v>2707</v>
      </c>
      <c r="C344" s="697" t="s">
        <v>3272</v>
      </c>
      <c r="D344" s="697" t="s">
        <v>3277</v>
      </c>
      <c r="E344" s="697" t="s">
        <v>3278</v>
      </c>
      <c r="F344" s="701">
        <v>129</v>
      </c>
      <c r="G344" s="701">
        <v>317989.30000000005</v>
      </c>
      <c r="H344" s="701">
        <v>0.37742334265074162</v>
      </c>
      <c r="I344" s="701">
        <v>2465.0333333333338</v>
      </c>
      <c r="J344" s="701">
        <v>319</v>
      </c>
      <c r="K344" s="701">
        <v>842526.85000000009</v>
      </c>
      <c r="L344" s="701">
        <v>1</v>
      </c>
      <c r="M344" s="701">
        <v>2641.15</v>
      </c>
      <c r="N344" s="701">
        <v>541</v>
      </c>
      <c r="O344" s="701">
        <v>1433324.75</v>
      </c>
      <c r="P344" s="723">
        <v>1.7012214506872985</v>
      </c>
      <c r="Q344" s="702">
        <v>2649.398798521257</v>
      </c>
    </row>
    <row r="345" spans="1:17" ht="14.4" customHeight="1" x14ac:dyDescent="0.3">
      <c r="A345" s="696" t="s">
        <v>505</v>
      </c>
      <c r="B345" s="697" t="s">
        <v>2707</v>
      </c>
      <c r="C345" s="697" t="s">
        <v>3272</v>
      </c>
      <c r="D345" s="697" t="s">
        <v>3279</v>
      </c>
      <c r="E345" s="697" t="s">
        <v>3278</v>
      </c>
      <c r="F345" s="701">
        <v>2</v>
      </c>
      <c r="G345" s="701">
        <v>2943.26</v>
      </c>
      <c r="H345" s="701">
        <v>1.7727705299170011</v>
      </c>
      <c r="I345" s="701">
        <v>1471.63</v>
      </c>
      <c r="J345" s="701">
        <v>1</v>
      </c>
      <c r="K345" s="701">
        <v>1660.26</v>
      </c>
      <c r="L345" s="701">
        <v>1</v>
      </c>
      <c r="M345" s="701">
        <v>1660.26</v>
      </c>
      <c r="N345" s="701"/>
      <c r="O345" s="701"/>
      <c r="P345" s="723"/>
      <c r="Q345" s="702"/>
    </row>
    <row r="346" spans="1:17" ht="14.4" customHeight="1" x14ac:dyDescent="0.3">
      <c r="A346" s="696" t="s">
        <v>505</v>
      </c>
      <c r="B346" s="697" t="s">
        <v>2707</v>
      </c>
      <c r="C346" s="697" t="s">
        <v>3272</v>
      </c>
      <c r="D346" s="697" t="s">
        <v>3280</v>
      </c>
      <c r="E346" s="697" t="s">
        <v>3281</v>
      </c>
      <c r="F346" s="701">
        <v>8</v>
      </c>
      <c r="G346" s="701">
        <v>16052.08</v>
      </c>
      <c r="H346" s="701">
        <v>0.92912477946998706</v>
      </c>
      <c r="I346" s="701">
        <v>2006.51</v>
      </c>
      <c r="J346" s="701">
        <v>8</v>
      </c>
      <c r="K346" s="701">
        <v>17276.560000000001</v>
      </c>
      <c r="L346" s="701">
        <v>1</v>
      </c>
      <c r="M346" s="701">
        <v>2159.5700000000002</v>
      </c>
      <c r="N346" s="701">
        <v>5</v>
      </c>
      <c r="O346" s="701">
        <v>10870.77</v>
      </c>
      <c r="P346" s="723">
        <v>0.62922074764883751</v>
      </c>
      <c r="Q346" s="702">
        <v>2174.154</v>
      </c>
    </row>
    <row r="347" spans="1:17" ht="14.4" customHeight="1" x14ac:dyDescent="0.3">
      <c r="A347" s="696" t="s">
        <v>505</v>
      </c>
      <c r="B347" s="697" t="s">
        <v>2707</v>
      </c>
      <c r="C347" s="697" t="s">
        <v>3272</v>
      </c>
      <c r="D347" s="697" t="s">
        <v>3282</v>
      </c>
      <c r="E347" s="697" t="s">
        <v>3283</v>
      </c>
      <c r="F347" s="701">
        <v>76</v>
      </c>
      <c r="G347" s="701">
        <v>630174.35999999987</v>
      </c>
      <c r="H347" s="701">
        <v>2.2834624932366605</v>
      </c>
      <c r="I347" s="701">
        <v>8291.7678947368404</v>
      </c>
      <c r="J347" s="701">
        <v>31</v>
      </c>
      <c r="K347" s="701">
        <v>275973.16000000003</v>
      </c>
      <c r="L347" s="701">
        <v>1</v>
      </c>
      <c r="M347" s="701">
        <v>8902.36</v>
      </c>
      <c r="N347" s="701">
        <v>22</v>
      </c>
      <c r="O347" s="701">
        <v>196572.4</v>
      </c>
      <c r="P347" s="723">
        <v>0.71228810801746067</v>
      </c>
      <c r="Q347" s="702">
        <v>8935.1090909090908</v>
      </c>
    </row>
    <row r="348" spans="1:17" ht="14.4" customHeight="1" x14ac:dyDescent="0.3">
      <c r="A348" s="696" t="s">
        <v>505</v>
      </c>
      <c r="B348" s="697" t="s">
        <v>2707</v>
      </c>
      <c r="C348" s="697" t="s">
        <v>3272</v>
      </c>
      <c r="D348" s="697" t="s">
        <v>3284</v>
      </c>
      <c r="E348" s="697" t="s">
        <v>3285</v>
      </c>
      <c r="F348" s="701">
        <v>138</v>
      </c>
      <c r="G348" s="701">
        <v>1367743.98</v>
      </c>
      <c r="H348" s="701">
        <v>2.8168326794641811</v>
      </c>
      <c r="I348" s="701">
        <v>9911.1882608695651</v>
      </c>
      <c r="J348" s="701">
        <v>47.1</v>
      </c>
      <c r="K348" s="701">
        <v>485560.95999999996</v>
      </c>
      <c r="L348" s="701">
        <v>1</v>
      </c>
      <c r="M348" s="701">
        <v>10309.149893842887</v>
      </c>
      <c r="N348" s="701">
        <v>56</v>
      </c>
      <c r="O348" s="701">
        <v>578093.4</v>
      </c>
      <c r="P348" s="723">
        <v>1.1905681214568817</v>
      </c>
      <c r="Q348" s="702">
        <v>10323.096428571429</v>
      </c>
    </row>
    <row r="349" spans="1:17" ht="14.4" customHeight="1" x14ac:dyDescent="0.3">
      <c r="A349" s="696" t="s">
        <v>505</v>
      </c>
      <c r="B349" s="697" t="s">
        <v>2707</v>
      </c>
      <c r="C349" s="697" t="s">
        <v>3272</v>
      </c>
      <c r="D349" s="697" t="s">
        <v>3286</v>
      </c>
      <c r="E349" s="697" t="s">
        <v>3287</v>
      </c>
      <c r="F349" s="701">
        <v>643</v>
      </c>
      <c r="G349" s="701">
        <v>683477.1399999999</v>
      </c>
      <c r="H349" s="701">
        <v>1.5002833841449226</v>
      </c>
      <c r="I349" s="701">
        <v>1062.9504510108864</v>
      </c>
      <c r="J349" s="701">
        <v>376</v>
      </c>
      <c r="K349" s="701">
        <v>455565.36</v>
      </c>
      <c r="L349" s="701">
        <v>1</v>
      </c>
      <c r="M349" s="701">
        <v>1211.6099999999999</v>
      </c>
      <c r="N349" s="701">
        <v>475</v>
      </c>
      <c r="O349" s="701">
        <v>577782.47</v>
      </c>
      <c r="P349" s="723">
        <v>1.2682756871593572</v>
      </c>
      <c r="Q349" s="702">
        <v>1216.3841473684211</v>
      </c>
    </row>
    <row r="350" spans="1:17" ht="14.4" customHeight="1" x14ac:dyDescent="0.3">
      <c r="A350" s="696" t="s">
        <v>505</v>
      </c>
      <c r="B350" s="697" t="s">
        <v>2707</v>
      </c>
      <c r="C350" s="697" t="s">
        <v>3272</v>
      </c>
      <c r="D350" s="697" t="s">
        <v>3288</v>
      </c>
      <c r="E350" s="697" t="s">
        <v>3289</v>
      </c>
      <c r="F350" s="701">
        <v>2</v>
      </c>
      <c r="G350" s="701">
        <v>29579.38</v>
      </c>
      <c r="H350" s="701"/>
      <c r="I350" s="701">
        <v>14789.69</v>
      </c>
      <c r="J350" s="701"/>
      <c r="K350" s="701"/>
      <c r="L350" s="701"/>
      <c r="M350" s="701"/>
      <c r="N350" s="701"/>
      <c r="O350" s="701"/>
      <c r="P350" s="723"/>
      <c r="Q350" s="702"/>
    </row>
    <row r="351" spans="1:17" ht="14.4" customHeight="1" x14ac:dyDescent="0.3">
      <c r="A351" s="696" t="s">
        <v>505</v>
      </c>
      <c r="B351" s="697" t="s">
        <v>2707</v>
      </c>
      <c r="C351" s="697" t="s">
        <v>3272</v>
      </c>
      <c r="D351" s="697" t="s">
        <v>3290</v>
      </c>
      <c r="E351" s="697" t="s">
        <v>3291</v>
      </c>
      <c r="F351" s="701">
        <v>165</v>
      </c>
      <c r="G351" s="701">
        <v>39896.01</v>
      </c>
      <c r="H351" s="701">
        <v>1.624364235983877</v>
      </c>
      <c r="I351" s="701">
        <v>241.79400000000001</v>
      </c>
      <c r="J351" s="701">
        <v>100</v>
      </c>
      <c r="K351" s="701">
        <v>24561</v>
      </c>
      <c r="L351" s="701">
        <v>1</v>
      </c>
      <c r="M351" s="701">
        <v>245.61</v>
      </c>
      <c r="N351" s="701">
        <v>53</v>
      </c>
      <c r="O351" s="701">
        <v>13108.68</v>
      </c>
      <c r="P351" s="723">
        <v>0.53371931110296811</v>
      </c>
      <c r="Q351" s="702">
        <v>247.33358490566039</v>
      </c>
    </row>
    <row r="352" spans="1:17" ht="14.4" customHeight="1" x14ac:dyDescent="0.3">
      <c r="A352" s="696" t="s">
        <v>505</v>
      </c>
      <c r="B352" s="697" t="s">
        <v>2707</v>
      </c>
      <c r="C352" s="697" t="s">
        <v>3272</v>
      </c>
      <c r="D352" s="697" t="s">
        <v>3292</v>
      </c>
      <c r="E352" s="697" t="s">
        <v>3293</v>
      </c>
      <c r="F352" s="701"/>
      <c r="G352" s="701"/>
      <c r="H352" s="701"/>
      <c r="I352" s="701"/>
      <c r="J352" s="701">
        <v>8</v>
      </c>
      <c r="K352" s="701">
        <v>21129.200000000001</v>
      </c>
      <c r="L352" s="701">
        <v>1</v>
      </c>
      <c r="M352" s="701">
        <v>2641.15</v>
      </c>
      <c r="N352" s="701"/>
      <c r="O352" s="701"/>
      <c r="P352" s="723"/>
      <c r="Q352" s="702"/>
    </row>
    <row r="353" spans="1:17" ht="14.4" customHeight="1" x14ac:dyDescent="0.3">
      <c r="A353" s="696" t="s">
        <v>505</v>
      </c>
      <c r="B353" s="697" t="s">
        <v>2707</v>
      </c>
      <c r="C353" s="697" t="s">
        <v>3294</v>
      </c>
      <c r="D353" s="697" t="s">
        <v>3295</v>
      </c>
      <c r="E353" s="697" t="s">
        <v>3296</v>
      </c>
      <c r="F353" s="701">
        <v>46</v>
      </c>
      <c r="G353" s="701">
        <v>15179.08</v>
      </c>
      <c r="H353" s="701">
        <v>1.3939393939393938</v>
      </c>
      <c r="I353" s="701">
        <v>329.98</v>
      </c>
      <c r="J353" s="701">
        <v>33</v>
      </c>
      <c r="K353" s="701">
        <v>10889.34</v>
      </c>
      <c r="L353" s="701">
        <v>1</v>
      </c>
      <c r="M353" s="701">
        <v>329.98</v>
      </c>
      <c r="N353" s="701">
        <v>21</v>
      </c>
      <c r="O353" s="701">
        <v>6929.58</v>
      </c>
      <c r="P353" s="723">
        <v>0.63636363636363635</v>
      </c>
      <c r="Q353" s="702">
        <v>329.98</v>
      </c>
    </row>
    <row r="354" spans="1:17" ht="14.4" customHeight="1" x14ac:dyDescent="0.3">
      <c r="A354" s="696" t="s">
        <v>505</v>
      </c>
      <c r="B354" s="697" t="s">
        <v>2707</v>
      </c>
      <c r="C354" s="697" t="s">
        <v>3294</v>
      </c>
      <c r="D354" s="697" t="s">
        <v>3297</v>
      </c>
      <c r="E354" s="697" t="s">
        <v>3296</v>
      </c>
      <c r="F354" s="701">
        <v>13</v>
      </c>
      <c r="G354" s="701">
        <v>5634.33</v>
      </c>
      <c r="H354" s="701">
        <v>1.2999999999999998</v>
      </c>
      <c r="I354" s="701">
        <v>433.40999999999997</v>
      </c>
      <c r="J354" s="701">
        <v>10</v>
      </c>
      <c r="K354" s="701">
        <v>4334.1000000000004</v>
      </c>
      <c r="L354" s="701">
        <v>1</v>
      </c>
      <c r="M354" s="701">
        <v>433.41</v>
      </c>
      <c r="N354" s="701">
        <v>3</v>
      </c>
      <c r="O354" s="701">
        <v>1300.23</v>
      </c>
      <c r="P354" s="723">
        <v>0.3</v>
      </c>
      <c r="Q354" s="702">
        <v>433.41</v>
      </c>
    </row>
    <row r="355" spans="1:17" ht="14.4" customHeight="1" x14ac:dyDescent="0.3">
      <c r="A355" s="696" t="s">
        <v>505</v>
      </c>
      <c r="B355" s="697" t="s">
        <v>2707</v>
      </c>
      <c r="C355" s="697" t="s">
        <v>3294</v>
      </c>
      <c r="D355" s="697" t="s">
        <v>3298</v>
      </c>
      <c r="E355" s="697" t="s">
        <v>3299</v>
      </c>
      <c r="F355" s="701">
        <v>4</v>
      </c>
      <c r="G355" s="701">
        <v>5741.44</v>
      </c>
      <c r="H355" s="701">
        <v>1.1764715525119771</v>
      </c>
      <c r="I355" s="701">
        <v>1435.36</v>
      </c>
      <c r="J355" s="701">
        <v>3.4</v>
      </c>
      <c r="K355" s="701">
        <v>4880.2199999999993</v>
      </c>
      <c r="L355" s="701">
        <v>1</v>
      </c>
      <c r="M355" s="701">
        <v>1435.3588235294117</v>
      </c>
      <c r="N355" s="701">
        <v>1</v>
      </c>
      <c r="O355" s="701">
        <v>1435.36</v>
      </c>
      <c r="P355" s="723">
        <v>0.29411788812799428</v>
      </c>
      <c r="Q355" s="702">
        <v>1435.36</v>
      </c>
    </row>
    <row r="356" spans="1:17" ht="14.4" customHeight="1" x14ac:dyDescent="0.3">
      <c r="A356" s="696" t="s">
        <v>505</v>
      </c>
      <c r="B356" s="697" t="s">
        <v>2707</v>
      </c>
      <c r="C356" s="697" t="s">
        <v>3294</v>
      </c>
      <c r="D356" s="697" t="s">
        <v>3300</v>
      </c>
      <c r="E356" s="697" t="s">
        <v>3299</v>
      </c>
      <c r="F356" s="701">
        <v>1</v>
      </c>
      <c r="G356" s="701">
        <v>1697.77</v>
      </c>
      <c r="H356" s="701"/>
      <c r="I356" s="701">
        <v>1697.77</v>
      </c>
      <c r="J356" s="701"/>
      <c r="K356" s="701"/>
      <c r="L356" s="701"/>
      <c r="M356" s="701"/>
      <c r="N356" s="701"/>
      <c r="O356" s="701"/>
      <c r="P356" s="723"/>
      <c r="Q356" s="702"/>
    </row>
    <row r="357" spans="1:17" ht="14.4" customHeight="1" x14ac:dyDescent="0.3">
      <c r="A357" s="696" t="s">
        <v>505</v>
      </c>
      <c r="B357" s="697" t="s">
        <v>2707</v>
      </c>
      <c r="C357" s="697" t="s">
        <v>3294</v>
      </c>
      <c r="D357" s="697" t="s">
        <v>3301</v>
      </c>
      <c r="E357" s="697" t="s">
        <v>3302</v>
      </c>
      <c r="F357" s="701">
        <v>0.1</v>
      </c>
      <c r="G357" s="701">
        <v>18.34</v>
      </c>
      <c r="H357" s="701"/>
      <c r="I357" s="701">
        <v>183.39999999999998</v>
      </c>
      <c r="J357" s="701"/>
      <c r="K357" s="701"/>
      <c r="L357" s="701"/>
      <c r="M357" s="701"/>
      <c r="N357" s="701"/>
      <c r="O357" s="701"/>
      <c r="P357" s="723"/>
      <c r="Q357" s="702"/>
    </row>
    <row r="358" spans="1:17" ht="14.4" customHeight="1" x14ac:dyDescent="0.3">
      <c r="A358" s="696" t="s">
        <v>505</v>
      </c>
      <c r="B358" s="697" t="s">
        <v>2707</v>
      </c>
      <c r="C358" s="697" t="s">
        <v>3294</v>
      </c>
      <c r="D358" s="697" t="s">
        <v>3303</v>
      </c>
      <c r="E358" s="697" t="s">
        <v>3302</v>
      </c>
      <c r="F358" s="701">
        <v>1</v>
      </c>
      <c r="G358" s="701">
        <v>1265.81</v>
      </c>
      <c r="H358" s="701">
        <v>10.000079001422025</v>
      </c>
      <c r="I358" s="701">
        <v>1265.81</v>
      </c>
      <c r="J358" s="701">
        <v>0.1</v>
      </c>
      <c r="K358" s="701">
        <v>126.58</v>
      </c>
      <c r="L358" s="701">
        <v>1</v>
      </c>
      <c r="M358" s="701">
        <v>1265.8</v>
      </c>
      <c r="N358" s="701">
        <v>0.1</v>
      </c>
      <c r="O358" s="701">
        <v>107.27</v>
      </c>
      <c r="P358" s="723">
        <v>0.84744825406857316</v>
      </c>
      <c r="Q358" s="702">
        <v>1072.6999999999998</v>
      </c>
    </row>
    <row r="359" spans="1:17" ht="14.4" customHeight="1" x14ac:dyDescent="0.3">
      <c r="A359" s="696" t="s">
        <v>505</v>
      </c>
      <c r="B359" s="697" t="s">
        <v>2707</v>
      </c>
      <c r="C359" s="697" t="s">
        <v>3294</v>
      </c>
      <c r="D359" s="697" t="s">
        <v>3304</v>
      </c>
      <c r="E359" s="697" t="s">
        <v>3305</v>
      </c>
      <c r="F359" s="701">
        <v>12</v>
      </c>
      <c r="G359" s="701">
        <v>1044.5999999999999</v>
      </c>
      <c r="H359" s="701">
        <v>4</v>
      </c>
      <c r="I359" s="701">
        <v>87.05</v>
      </c>
      <c r="J359" s="701">
        <v>3</v>
      </c>
      <c r="K359" s="701">
        <v>261.14999999999998</v>
      </c>
      <c r="L359" s="701">
        <v>1</v>
      </c>
      <c r="M359" s="701">
        <v>87.05</v>
      </c>
      <c r="N359" s="701">
        <v>1</v>
      </c>
      <c r="O359" s="701">
        <v>87.05</v>
      </c>
      <c r="P359" s="723">
        <v>0.33333333333333337</v>
      </c>
      <c r="Q359" s="702">
        <v>87.05</v>
      </c>
    </row>
    <row r="360" spans="1:17" ht="14.4" customHeight="1" x14ac:dyDescent="0.3">
      <c r="A360" s="696" t="s">
        <v>505</v>
      </c>
      <c r="B360" s="697" t="s">
        <v>2707</v>
      </c>
      <c r="C360" s="697" t="s">
        <v>3294</v>
      </c>
      <c r="D360" s="697" t="s">
        <v>3306</v>
      </c>
      <c r="E360" s="697" t="s">
        <v>3305</v>
      </c>
      <c r="F360" s="701">
        <v>9</v>
      </c>
      <c r="G360" s="701">
        <v>1161.27</v>
      </c>
      <c r="H360" s="701"/>
      <c r="I360" s="701">
        <v>129.03</v>
      </c>
      <c r="J360" s="701"/>
      <c r="K360" s="701"/>
      <c r="L360" s="701"/>
      <c r="M360" s="701"/>
      <c r="N360" s="701"/>
      <c r="O360" s="701"/>
      <c r="P360" s="723"/>
      <c r="Q360" s="702"/>
    </row>
    <row r="361" spans="1:17" ht="14.4" customHeight="1" x14ac:dyDescent="0.3">
      <c r="A361" s="696" t="s">
        <v>505</v>
      </c>
      <c r="B361" s="697" t="s">
        <v>2707</v>
      </c>
      <c r="C361" s="697" t="s">
        <v>3294</v>
      </c>
      <c r="D361" s="697" t="s">
        <v>3307</v>
      </c>
      <c r="E361" s="697" t="s">
        <v>3308</v>
      </c>
      <c r="F361" s="701"/>
      <c r="G361" s="701"/>
      <c r="H361" s="701"/>
      <c r="I361" s="701"/>
      <c r="J361" s="701"/>
      <c r="K361" s="701"/>
      <c r="L361" s="701"/>
      <c r="M361" s="701"/>
      <c r="N361" s="701">
        <v>1</v>
      </c>
      <c r="O361" s="701">
        <v>875.93</v>
      </c>
      <c r="P361" s="723"/>
      <c r="Q361" s="702">
        <v>875.93</v>
      </c>
    </row>
    <row r="362" spans="1:17" ht="14.4" customHeight="1" x14ac:dyDescent="0.3">
      <c r="A362" s="696" t="s">
        <v>505</v>
      </c>
      <c r="B362" s="697" t="s">
        <v>2707</v>
      </c>
      <c r="C362" s="697" t="s">
        <v>3294</v>
      </c>
      <c r="D362" s="697" t="s">
        <v>3309</v>
      </c>
      <c r="E362" s="697" t="s">
        <v>3310</v>
      </c>
      <c r="F362" s="701">
        <v>9.6999999999999993</v>
      </c>
      <c r="G362" s="701">
        <v>6106.9800000000005</v>
      </c>
      <c r="H362" s="701">
        <v>2.6216403013586902</v>
      </c>
      <c r="I362" s="701">
        <v>629.58556701030932</v>
      </c>
      <c r="J362" s="701">
        <v>3.7</v>
      </c>
      <c r="K362" s="701">
        <v>2329.4499999999998</v>
      </c>
      <c r="L362" s="701">
        <v>1</v>
      </c>
      <c r="M362" s="701">
        <v>629.58108108108104</v>
      </c>
      <c r="N362" s="701">
        <v>2.5</v>
      </c>
      <c r="O362" s="701">
        <v>1573.96</v>
      </c>
      <c r="P362" s="723">
        <v>0.67567880830238902</v>
      </c>
      <c r="Q362" s="702">
        <v>629.58400000000006</v>
      </c>
    </row>
    <row r="363" spans="1:17" ht="14.4" customHeight="1" x14ac:dyDescent="0.3">
      <c r="A363" s="696" t="s">
        <v>505</v>
      </c>
      <c r="B363" s="697" t="s">
        <v>2707</v>
      </c>
      <c r="C363" s="697" t="s">
        <v>3294</v>
      </c>
      <c r="D363" s="697" t="s">
        <v>3311</v>
      </c>
      <c r="E363" s="697" t="s">
        <v>3312</v>
      </c>
      <c r="F363" s="701">
        <v>1</v>
      </c>
      <c r="G363" s="701">
        <v>2111.8000000000002</v>
      </c>
      <c r="H363" s="701"/>
      <c r="I363" s="701">
        <v>2111.8000000000002</v>
      </c>
      <c r="J363" s="701"/>
      <c r="K363" s="701"/>
      <c r="L363" s="701"/>
      <c r="M363" s="701"/>
      <c r="N363" s="701">
        <v>1</v>
      </c>
      <c r="O363" s="701">
        <v>2111.8000000000002</v>
      </c>
      <c r="P363" s="723"/>
      <c r="Q363" s="702">
        <v>2111.8000000000002</v>
      </c>
    </row>
    <row r="364" spans="1:17" ht="14.4" customHeight="1" x14ac:dyDescent="0.3">
      <c r="A364" s="696" t="s">
        <v>505</v>
      </c>
      <c r="B364" s="697" t="s">
        <v>2707</v>
      </c>
      <c r="C364" s="697" t="s">
        <v>3294</v>
      </c>
      <c r="D364" s="697" t="s">
        <v>3313</v>
      </c>
      <c r="E364" s="697" t="s">
        <v>3314</v>
      </c>
      <c r="F364" s="701">
        <v>7</v>
      </c>
      <c r="G364" s="701">
        <v>7240.03</v>
      </c>
      <c r="H364" s="701">
        <v>0.63636363636363646</v>
      </c>
      <c r="I364" s="701">
        <v>1034.29</v>
      </c>
      <c r="J364" s="701">
        <v>11</v>
      </c>
      <c r="K364" s="701">
        <v>11377.189999999999</v>
      </c>
      <c r="L364" s="701">
        <v>1</v>
      </c>
      <c r="M364" s="701">
        <v>1034.29</v>
      </c>
      <c r="N364" s="701"/>
      <c r="O364" s="701"/>
      <c r="P364" s="723"/>
      <c r="Q364" s="702"/>
    </row>
    <row r="365" spans="1:17" ht="14.4" customHeight="1" x14ac:dyDescent="0.3">
      <c r="A365" s="696" t="s">
        <v>505</v>
      </c>
      <c r="B365" s="697" t="s">
        <v>2707</v>
      </c>
      <c r="C365" s="697" t="s">
        <v>3294</v>
      </c>
      <c r="D365" s="697" t="s">
        <v>3315</v>
      </c>
      <c r="E365" s="697" t="s">
        <v>3314</v>
      </c>
      <c r="F365" s="701">
        <v>4</v>
      </c>
      <c r="G365" s="701">
        <v>4398.32</v>
      </c>
      <c r="H365" s="701">
        <v>1</v>
      </c>
      <c r="I365" s="701">
        <v>1099.58</v>
      </c>
      <c r="J365" s="701">
        <v>4</v>
      </c>
      <c r="K365" s="701">
        <v>4398.32</v>
      </c>
      <c r="L365" s="701">
        <v>1</v>
      </c>
      <c r="M365" s="701">
        <v>1099.58</v>
      </c>
      <c r="N365" s="701"/>
      <c r="O365" s="701"/>
      <c r="P365" s="723"/>
      <c r="Q365" s="702"/>
    </row>
    <row r="366" spans="1:17" ht="14.4" customHeight="1" x14ac:dyDescent="0.3">
      <c r="A366" s="696" t="s">
        <v>505</v>
      </c>
      <c r="B366" s="697" t="s">
        <v>2707</v>
      </c>
      <c r="C366" s="697" t="s">
        <v>3294</v>
      </c>
      <c r="D366" s="697" t="s">
        <v>3316</v>
      </c>
      <c r="E366" s="697" t="s">
        <v>3314</v>
      </c>
      <c r="F366" s="701">
        <v>9</v>
      </c>
      <c r="G366" s="701">
        <v>10623.78</v>
      </c>
      <c r="H366" s="701"/>
      <c r="I366" s="701">
        <v>1180.42</v>
      </c>
      <c r="J366" s="701"/>
      <c r="K366" s="701"/>
      <c r="L366" s="701"/>
      <c r="M366" s="701"/>
      <c r="N366" s="701"/>
      <c r="O366" s="701"/>
      <c r="P366" s="723"/>
      <c r="Q366" s="702"/>
    </row>
    <row r="367" spans="1:17" ht="14.4" customHeight="1" x14ac:dyDescent="0.3">
      <c r="A367" s="696" t="s">
        <v>505</v>
      </c>
      <c r="B367" s="697" t="s">
        <v>2707</v>
      </c>
      <c r="C367" s="697" t="s">
        <v>3294</v>
      </c>
      <c r="D367" s="697" t="s">
        <v>3317</v>
      </c>
      <c r="E367" s="697" t="s">
        <v>3314</v>
      </c>
      <c r="F367" s="701">
        <v>3</v>
      </c>
      <c r="G367" s="701">
        <v>3743.34</v>
      </c>
      <c r="H367" s="701">
        <v>0.75</v>
      </c>
      <c r="I367" s="701">
        <v>1247.78</v>
      </c>
      <c r="J367" s="701">
        <v>4</v>
      </c>
      <c r="K367" s="701">
        <v>4991.12</v>
      </c>
      <c r="L367" s="701">
        <v>1</v>
      </c>
      <c r="M367" s="701">
        <v>1247.78</v>
      </c>
      <c r="N367" s="701"/>
      <c r="O367" s="701"/>
      <c r="P367" s="723"/>
      <c r="Q367" s="702"/>
    </row>
    <row r="368" spans="1:17" ht="14.4" customHeight="1" x14ac:dyDescent="0.3">
      <c r="A368" s="696" t="s">
        <v>505</v>
      </c>
      <c r="B368" s="697" t="s">
        <v>2707</v>
      </c>
      <c r="C368" s="697" t="s">
        <v>3294</v>
      </c>
      <c r="D368" s="697" t="s">
        <v>3318</v>
      </c>
      <c r="E368" s="697" t="s">
        <v>3314</v>
      </c>
      <c r="F368" s="701">
        <v>3</v>
      </c>
      <c r="G368" s="701">
        <v>4128.87</v>
      </c>
      <c r="H368" s="701"/>
      <c r="I368" s="701">
        <v>1376.29</v>
      </c>
      <c r="J368" s="701"/>
      <c r="K368" s="701"/>
      <c r="L368" s="701"/>
      <c r="M368" s="701"/>
      <c r="N368" s="701"/>
      <c r="O368" s="701"/>
      <c r="P368" s="723"/>
      <c r="Q368" s="702"/>
    </row>
    <row r="369" spans="1:17" ht="14.4" customHeight="1" x14ac:dyDescent="0.3">
      <c r="A369" s="696" t="s">
        <v>505</v>
      </c>
      <c r="B369" s="697" t="s">
        <v>2707</v>
      </c>
      <c r="C369" s="697" t="s">
        <v>3294</v>
      </c>
      <c r="D369" s="697" t="s">
        <v>3319</v>
      </c>
      <c r="E369" s="697" t="s">
        <v>3320</v>
      </c>
      <c r="F369" s="701">
        <v>1</v>
      </c>
      <c r="G369" s="701">
        <v>687</v>
      </c>
      <c r="H369" s="701">
        <v>0.5</v>
      </c>
      <c r="I369" s="701">
        <v>687</v>
      </c>
      <c r="J369" s="701">
        <v>2</v>
      </c>
      <c r="K369" s="701">
        <v>1374</v>
      </c>
      <c r="L369" s="701">
        <v>1</v>
      </c>
      <c r="M369" s="701">
        <v>687</v>
      </c>
      <c r="N369" s="701">
        <v>1</v>
      </c>
      <c r="O369" s="701">
        <v>687</v>
      </c>
      <c r="P369" s="723">
        <v>0.5</v>
      </c>
      <c r="Q369" s="702">
        <v>687</v>
      </c>
    </row>
    <row r="370" spans="1:17" ht="14.4" customHeight="1" x14ac:dyDescent="0.3">
      <c r="A370" s="696" t="s">
        <v>505</v>
      </c>
      <c r="B370" s="697" t="s">
        <v>2707</v>
      </c>
      <c r="C370" s="697" t="s">
        <v>3294</v>
      </c>
      <c r="D370" s="697" t="s">
        <v>3321</v>
      </c>
      <c r="E370" s="697" t="s">
        <v>3322</v>
      </c>
      <c r="F370" s="701">
        <v>7</v>
      </c>
      <c r="G370" s="701">
        <v>3496.71</v>
      </c>
      <c r="H370" s="701">
        <v>3.5000000000000004</v>
      </c>
      <c r="I370" s="701">
        <v>499.53000000000003</v>
      </c>
      <c r="J370" s="701">
        <v>2</v>
      </c>
      <c r="K370" s="701">
        <v>999.06</v>
      </c>
      <c r="L370" s="701">
        <v>1</v>
      </c>
      <c r="M370" s="701">
        <v>499.53</v>
      </c>
      <c r="N370" s="701"/>
      <c r="O370" s="701"/>
      <c r="P370" s="723"/>
      <c r="Q370" s="702"/>
    </row>
    <row r="371" spans="1:17" ht="14.4" customHeight="1" x14ac:dyDescent="0.3">
      <c r="A371" s="696" t="s">
        <v>505</v>
      </c>
      <c r="B371" s="697" t="s">
        <v>2707</v>
      </c>
      <c r="C371" s="697" t="s">
        <v>3294</v>
      </c>
      <c r="D371" s="697" t="s">
        <v>3323</v>
      </c>
      <c r="E371" s="697" t="s">
        <v>3322</v>
      </c>
      <c r="F371" s="701">
        <v>2</v>
      </c>
      <c r="G371" s="701">
        <v>853.96</v>
      </c>
      <c r="H371" s="701"/>
      <c r="I371" s="701">
        <v>426.98</v>
      </c>
      <c r="J371" s="701"/>
      <c r="K371" s="701"/>
      <c r="L371" s="701"/>
      <c r="M371" s="701"/>
      <c r="N371" s="701"/>
      <c r="O371" s="701"/>
      <c r="P371" s="723"/>
      <c r="Q371" s="702"/>
    </row>
    <row r="372" spans="1:17" ht="14.4" customHeight="1" x14ac:dyDescent="0.3">
      <c r="A372" s="696" t="s">
        <v>505</v>
      </c>
      <c r="B372" s="697" t="s">
        <v>2707</v>
      </c>
      <c r="C372" s="697" t="s">
        <v>3294</v>
      </c>
      <c r="D372" s="697" t="s">
        <v>3324</v>
      </c>
      <c r="E372" s="697" t="s">
        <v>3325</v>
      </c>
      <c r="F372" s="701">
        <v>2</v>
      </c>
      <c r="G372" s="701">
        <v>19315.740000000002</v>
      </c>
      <c r="H372" s="701">
        <v>2</v>
      </c>
      <c r="I372" s="701">
        <v>9657.8700000000008</v>
      </c>
      <c r="J372" s="701">
        <v>1</v>
      </c>
      <c r="K372" s="701">
        <v>9657.8700000000008</v>
      </c>
      <c r="L372" s="701">
        <v>1</v>
      </c>
      <c r="M372" s="701">
        <v>9657.8700000000008</v>
      </c>
      <c r="N372" s="701"/>
      <c r="O372" s="701"/>
      <c r="P372" s="723"/>
      <c r="Q372" s="702"/>
    </row>
    <row r="373" spans="1:17" ht="14.4" customHeight="1" x14ac:dyDescent="0.3">
      <c r="A373" s="696" t="s">
        <v>505</v>
      </c>
      <c r="B373" s="697" t="s">
        <v>2707</v>
      </c>
      <c r="C373" s="697" t="s">
        <v>3294</v>
      </c>
      <c r="D373" s="697" t="s">
        <v>3326</v>
      </c>
      <c r="E373" s="697" t="s">
        <v>3305</v>
      </c>
      <c r="F373" s="701">
        <v>10.1</v>
      </c>
      <c r="G373" s="701">
        <v>697.1</v>
      </c>
      <c r="H373" s="701">
        <v>0.91817918389926501</v>
      </c>
      <c r="I373" s="701">
        <v>69.019801980198025</v>
      </c>
      <c r="J373" s="701">
        <v>11</v>
      </c>
      <c r="K373" s="701">
        <v>759.22</v>
      </c>
      <c r="L373" s="701">
        <v>1</v>
      </c>
      <c r="M373" s="701">
        <v>69.02</v>
      </c>
      <c r="N373" s="701">
        <v>4</v>
      </c>
      <c r="O373" s="701">
        <v>276.08</v>
      </c>
      <c r="P373" s="723">
        <v>0.36363636363636359</v>
      </c>
      <c r="Q373" s="702">
        <v>69.02</v>
      </c>
    </row>
    <row r="374" spans="1:17" ht="14.4" customHeight="1" x14ac:dyDescent="0.3">
      <c r="A374" s="696" t="s">
        <v>505</v>
      </c>
      <c r="B374" s="697" t="s">
        <v>2707</v>
      </c>
      <c r="C374" s="697" t="s">
        <v>3294</v>
      </c>
      <c r="D374" s="697" t="s">
        <v>3327</v>
      </c>
      <c r="E374" s="697" t="s">
        <v>3305</v>
      </c>
      <c r="F374" s="701">
        <v>1</v>
      </c>
      <c r="G374" s="701">
        <v>84.98</v>
      </c>
      <c r="H374" s="701"/>
      <c r="I374" s="701">
        <v>84.98</v>
      </c>
      <c r="J374" s="701"/>
      <c r="K374" s="701"/>
      <c r="L374" s="701"/>
      <c r="M374" s="701"/>
      <c r="N374" s="701"/>
      <c r="O374" s="701"/>
      <c r="P374" s="723"/>
      <c r="Q374" s="702"/>
    </row>
    <row r="375" spans="1:17" ht="14.4" customHeight="1" x14ac:dyDescent="0.3">
      <c r="A375" s="696" t="s">
        <v>505</v>
      </c>
      <c r="B375" s="697" t="s">
        <v>2707</v>
      </c>
      <c r="C375" s="697" t="s">
        <v>3294</v>
      </c>
      <c r="D375" s="697" t="s">
        <v>3328</v>
      </c>
      <c r="E375" s="697" t="s">
        <v>3329</v>
      </c>
      <c r="F375" s="701"/>
      <c r="G375" s="701"/>
      <c r="H375" s="701"/>
      <c r="I375" s="701"/>
      <c r="J375" s="701">
        <v>6.34</v>
      </c>
      <c r="K375" s="701">
        <v>1521.6</v>
      </c>
      <c r="L375" s="701">
        <v>1</v>
      </c>
      <c r="M375" s="701">
        <v>240</v>
      </c>
      <c r="N375" s="701"/>
      <c r="O375" s="701"/>
      <c r="P375" s="723"/>
      <c r="Q375" s="702"/>
    </row>
    <row r="376" spans="1:17" ht="14.4" customHeight="1" x14ac:dyDescent="0.3">
      <c r="A376" s="696" t="s">
        <v>505</v>
      </c>
      <c r="B376" s="697" t="s">
        <v>2707</v>
      </c>
      <c r="C376" s="697" t="s">
        <v>3294</v>
      </c>
      <c r="D376" s="697" t="s">
        <v>3330</v>
      </c>
      <c r="E376" s="697" t="s">
        <v>3329</v>
      </c>
      <c r="F376" s="701"/>
      <c r="G376" s="701"/>
      <c r="H376" s="701"/>
      <c r="I376" s="701"/>
      <c r="J376" s="701">
        <v>0.34</v>
      </c>
      <c r="K376" s="701">
        <v>413.44</v>
      </c>
      <c r="L376" s="701">
        <v>1</v>
      </c>
      <c r="M376" s="701">
        <v>1216</v>
      </c>
      <c r="N376" s="701"/>
      <c r="O376" s="701"/>
      <c r="P376" s="723"/>
      <c r="Q376" s="702"/>
    </row>
    <row r="377" spans="1:17" ht="14.4" customHeight="1" x14ac:dyDescent="0.3">
      <c r="A377" s="696" t="s">
        <v>505</v>
      </c>
      <c r="B377" s="697" t="s">
        <v>2707</v>
      </c>
      <c r="C377" s="697" t="s">
        <v>3294</v>
      </c>
      <c r="D377" s="697" t="s">
        <v>3331</v>
      </c>
      <c r="E377" s="697" t="s">
        <v>3332</v>
      </c>
      <c r="F377" s="701">
        <v>1</v>
      </c>
      <c r="G377" s="701">
        <v>14345.35</v>
      </c>
      <c r="H377" s="701"/>
      <c r="I377" s="701">
        <v>14345.35</v>
      </c>
      <c r="J377" s="701"/>
      <c r="K377" s="701"/>
      <c r="L377" s="701"/>
      <c r="M377" s="701"/>
      <c r="N377" s="701"/>
      <c r="O377" s="701"/>
      <c r="P377" s="723"/>
      <c r="Q377" s="702"/>
    </row>
    <row r="378" spans="1:17" ht="14.4" customHeight="1" x14ac:dyDescent="0.3">
      <c r="A378" s="696" t="s">
        <v>505</v>
      </c>
      <c r="B378" s="697" t="s">
        <v>2707</v>
      </c>
      <c r="C378" s="697" t="s">
        <v>3294</v>
      </c>
      <c r="D378" s="697" t="s">
        <v>3333</v>
      </c>
      <c r="E378" s="697" t="s">
        <v>3334</v>
      </c>
      <c r="F378" s="701">
        <v>5</v>
      </c>
      <c r="G378" s="701">
        <v>21742.400000000001</v>
      </c>
      <c r="H378" s="701"/>
      <c r="I378" s="701">
        <v>4348.4800000000005</v>
      </c>
      <c r="J378" s="701"/>
      <c r="K378" s="701"/>
      <c r="L378" s="701"/>
      <c r="M378" s="701"/>
      <c r="N378" s="701"/>
      <c r="O378" s="701"/>
      <c r="P378" s="723"/>
      <c r="Q378" s="702"/>
    </row>
    <row r="379" spans="1:17" ht="14.4" customHeight="1" x14ac:dyDescent="0.3">
      <c r="A379" s="696" t="s">
        <v>505</v>
      </c>
      <c r="B379" s="697" t="s">
        <v>2707</v>
      </c>
      <c r="C379" s="697" t="s">
        <v>3294</v>
      </c>
      <c r="D379" s="697" t="s">
        <v>3335</v>
      </c>
      <c r="E379" s="697" t="s">
        <v>3336</v>
      </c>
      <c r="F379" s="701">
        <v>5</v>
      </c>
      <c r="G379" s="701">
        <v>27204.55</v>
      </c>
      <c r="H379" s="701"/>
      <c r="I379" s="701">
        <v>5440.91</v>
      </c>
      <c r="J379" s="701"/>
      <c r="K379" s="701"/>
      <c r="L379" s="701"/>
      <c r="M379" s="701"/>
      <c r="N379" s="701"/>
      <c r="O379" s="701"/>
      <c r="P379" s="723"/>
      <c r="Q379" s="702"/>
    </row>
    <row r="380" spans="1:17" ht="14.4" customHeight="1" x14ac:dyDescent="0.3">
      <c r="A380" s="696" t="s">
        <v>505</v>
      </c>
      <c r="B380" s="697" t="s">
        <v>2707</v>
      </c>
      <c r="C380" s="697" t="s">
        <v>3294</v>
      </c>
      <c r="D380" s="697" t="s">
        <v>3337</v>
      </c>
      <c r="E380" s="697" t="s">
        <v>3338</v>
      </c>
      <c r="F380" s="701">
        <v>1</v>
      </c>
      <c r="G380" s="701">
        <v>6847</v>
      </c>
      <c r="H380" s="701"/>
      <c r="I380" s="701">
        <v>6847</v>
      </c>
      <c r="J380" s="701"/>
      <c r="K380" s="701"/>
      <c r="L380" s="701"/>
      <c r="M380" s="701"/>
      <c r="N380" s="701"/>
      <c r="O380" s="701"/>
      <c r="P380" s="723"/>
      <c r="Q380" s="702"/>
    </row>
    <row r="381" spans="1:17" ht="14.4" customHeight="1" x14ac:dyDescent="0.3">
      <c r="A381" s="696" t="s">
        <v>505</v>
      </c>
      <c r="B381" s="697" t="s">
        <v>2707</v>
      </c>
      <c r="C381" s="697" t="s">
        <v>3294</v>
      </c>
      <c r="D381" s="697" t="s">
        <v>3339</v>
      </c>
      <c r="E381" s="697" t="s">
        <v>3340</v>
      </c>
      <c r="F381" s="701">
        <v>2</v>
      </c>
      <c r="G381" s="701">
        <v>13665.5</v>
      </c>
      <c r="H381" s="701">
        <v>1.0416730188736776</v>
      </c>
      <c r="I381" s="701">
        <v>6832.75</v>
      </c>
      <c r="J381" s="701">
        <v>2</v>
      </c>
      <c r="K381" s="701">
        <v>13118.8</v>
      </c>
      <c r="L381" s="701">
        <v>1</v>
      </c>
      <c r="M381" s="701">
        <v>6559.4</v>
      </c>
      <c r="N381" s="701">
        <v>1</v>
      </c>
      <c r="O381" s="701">
        <v>6559.4</v>
      </c>
      <c r="P381" s="723">
        <v>0.5</v>
      </c>
      <c r="Q381" s="702">
        <v>6559.4</v>
      </c>
    </row>
    <row r="382" spans="1:17" ht="14.4" customHeight="1" x14ac:dyDescent="0.3">
      <c r="A382" s="696" t="s">
        <v>505</v>
      </c>
      <c r="B382" s="697" t="s">
        <v>2707</v>
      </c>
      <c r="C382" s="697" t="s">
        <v>3294</v>
      </c>
      <c r="D382" s="697" t="s">
        <v>3341</v>
      </c>
      <c r="E382" s="697" t="s">
        <v>3342</v>
      </c>
      <c r="F382" s="701">
        <v>2</v>
      </c>
      <c r="G382" s="701">
        <v>10166.719999999999</v>
      </c>
      <c r="H382" s="701"/>
      <c r="I382" s="701">
        <v>5083.3599999999997</v>
      </c>
      <c r="J382" s="701"/>
      <c r="K382" s="701"/>
      <c r="L382" s="701"/>
      <c r="M382" s="701"/>
      <c r="N382" s="701"/>
      <c r="O382" s="701"/>
      <c r="P382" s="723"/>
      <c r="Q382" s="702"/>
    </row>
    <row r="383" spans="1:17" ht="14.4" customHeight="1" x14ac:dyDescent="0.3">
      <c r="A383" s="696" t="s">
        <v>505</v>
      </c>
      <c r="B383" s="697" t="s">
        <v>2707</v>
      </c>
      <c r="C383" s="697" t="s">
        <v>3294</v>
      </c>
      <c r="D383" s="697" t="s">
        <v>3343</v>
      </c>
      <c r="E383" s="697" t="s">
        <v>3344</v>
      </c>
      <c r="F383" s="701">
        <v>3</v>
      </c>
      <c r="G383" s="701">
        <v>19711.650000000001</v>
      </c>
      <c r="H383" s="701"/>
      <c r="I383" s="701">
        <v>6570.55</v>
      </c>
      <c r="J383" s="701"/>
      <c r="K383" s="701"/>
      <c r="L383" s="701"/>
      <c r="M383" s="701"/>
      <c r="N383" s="701"/>
      <c r="O383" s="701"/>
      <c r="P383" s="723"/>
      <c r="Q383" s="702"/>
    </row>
    <row r="384" spans="1:17" ht="14.4" customHeight="1" x14ac:dyDescent="0.3">
      <c r="A384" s="696" t="s">
        <v>505</v>
      </c>
      <c r="B384" s="697" t="s">
        <v>2707</v>
      </c>
      <c r="C384" s="697" t="s">
        <v>3294</v>
      </c>
      <c r="D384" s="697" t="s">
        <v>3345</v>
      </c>
      <c r="E384" s="697" t="s">
        <v>3346</v>
      </c>
      <c r="F384" s="701"/>
      <c r="G384" s="701"/>
      <c r="H384" s="701"/>
      <c r="I384" s="701"/>
      <c r="J384" s="701"/>
      <c r="K384" s="701"/>
      <c r="L384" s="701"/>
      <c r="M384" s="701"/>
      <c r="N384" s="701">
        <v>1</v>
      </c>
      <c r="O384" s="701">
        <v>230.07</v>
      </c>
      <c r="P384" s="723"/>
      <c r="Q384" s="702">
        <v>230.07</v>
      </c>
    </row>
    <row r="385" spans="1:17" ht="14.4" customHeight="1" x14ac:dyDescent="0.3">
      <c r="A385" s="696" t="s">
        <v>505</v>
      </c>
      <c r="B385" s="697" t="s">
        <v>2707</v>
      </c>
      <c r="C385" s="697" t="s">
        <v>3294</v>
      </c>
      <c r="D385" s="697" t="s">
        <v>3347</v>
      </c>
      <c r="E385" s="697" t="s">
        <v>3348</v>
      </c>
      <c r="F385" s="701">
        <v>7</v>
      </c>
      <c r="G385" s="701">
        <v>1523.48</v>
      </c>
      <c r="H385" s="701"/>
      <c r="I385" s="701">
        <v>217.64000000000001</v>
      </c>
      <c r="J385" s="701"/>
      <c r="K385" s="701"/>
      <c r="L385" s="701"/>
      <c r="M385" s="701"/>
      <c r="N385" s="701">
        <v>1</v>
      </c>
      <c r="O385" s="701">
        <v>217.64</v>
      </c>
      <c r="P385" s="723"/>
      <c r="Q385" s="702">
        <v>217.64</v>
      </c>
    </row>
    <row r="386" spans="1:17" ht="14.4" customHeight="1" x14ac:dyDescent="0.3">
      <c r="A386" s="696" t="s">
        <v>505</v>
      </c>
      <c r="B386" s="697" t="s">
        <v>2707</v>
      </c>
      <c r="C386" s="697" t="s">
        <v>3294</v>
      </c>
      <c r="D386" s="697" t="s">
        <v>3349</v>
      </c>
      <c r="E386" s="697" t="s">
        <v>3348</v>
      </c>
      <c r="F386" s="701"/>
      <c r="G386" s="701"/>
      <c r="H386" s="701"/>
      <c r="I386" s="701"/>
      <c r="J386" s="701"/>
      <c r="K386" s="701"/>
      <c r="L386" s="701"/>
      <c r="M386" s="701"/>
      <c r="N386" s="701">
        <v>4</v>
      </c>
      <c r="O386" s="701">
        <v>1061.24</v>
      </c>
      <c r="P386" s="723"/>
      <c r="Q386" s="702">
        <v>265.31</v>
      </c>
    </row>
    <row r="387" spans="1:17" ht="14.4" customHeight="1" x14ac:dyDescent="0.3">
      <c r="A387" s="696" t="s">
        <v>505</v>
      </c>
      <c r="B387" s="697" t="s">
        <v>2707</v>
      </c>
      <c r="C387" s="697" t="s">
        <v>3294</v>
      </c>
      <c r="D387" s="697" t="s">
        <v>3350</v>
      </c>
      <c r="E387" s="697" t="s">
        <v>3351</v>
      </c>
      <c r="F387" s="701">
        <v>2</v>
      </c>
      <c r="G387" s="701">
        <v>1036.3599999999999</v>
      </c>
      <c r="H387" s="701"/>
      <c r="I387" s="701">
        <v>518.17999999999995</v>
      </c>
      <c r="J387" s="701"/>
      <c r="K387" s="701"/>
      <c r="L387" s="701"/>
      <c r="M387" s="701"/>
      <c r="N387" s="701"/>
      <c r="O387" s="701"/>
      <c r="P387" s="723"/>
      <c r="Q387" s="702"/>
    </row>
    <row r="388" spans="1:17" ht="14.4" customHeight="1" x14ac:dyDescent="0.3">
      <c r="A388" s="696" t="s">
        <v>505</v>
      </c>
      <c r="B388" s="697" t="s">
        <v>2707</v>
      </c>
      <c r="C388" s="697" t="s">
        <v>3294</v>
      </c>
      <c r="D388" s="697" t="s">
        <v>3352</v>
      </c>
      <c r="E388" s="697" t="s">
        <v>3305</v>
      </c>
      <c r="F388" s="701">
        <v>6</v>
      </c>
      <c r="G388" s="701">
        <v>727.5</v>
      </c>
      <c r="H388" s="701"/>
      <c r="I388" s="701">
        <v>121.25</v>
      </c>
      <c r="J388" s="701"/>
      <c r="K388" s="701"/>
      <c r="L388" s="701"/>
      <c r="M388" s="701"/>
      <c r="N388" s="701"/>
      <c r="O388" s="701"/>
      <c r="P388" s="723"/>
      <c r="Q388" s="702"/>
    </row>
    <row r="389" spans="1:17" ht="14.4" customHeight="1" x14ac:dyDescent="0.3">
      <c r="A389" s="696" t="s">
        <v>505</v>
      </c>
      <c r="B389" s="697" t="s">
        <v>2707</v>
      </c>
      <c r="C389" s="697" t="s">
        <v>3294</v>
      </c>
      <c r="D389" s="697" t="s">
        <v>3353</v>
      </c>
      <c r="E389" s="697" t="s">
        <v>3305</v>
      </c>
      <c r="F389" s="701"/>
      <c r="G389" s="701"/>
      <c r="H389" s="701"/>
      <c r="I389" s="701"/>
      <c r="J389" s="701">
        <v>1</v>
      </c>
      <c r="K389" s="701">
        <v>172.04</v>
      </c>
      <c r="L389" s="701">
        <v>1</v>
      </c>
      <c r="M389" s="701">
        <v>172.04</v>
      </c>
      <c r="N389" s="701"/>
      <c r="O389" s="701"/>
      <c r="P389" s="723"/>
      <c r="Q389" s="702"/>
    </row>
    <row r="390" spans="1:17" ht="14.4" customHeight="1" x14ac:dyDescent="0.3">
      <c r="A390" s="696" t="s">
        <v>505</v>
      </c>
      <c r="B390" s="697" t="s">
        <v>2707</v>
      </c>
      <c r="C390" s="697" t="s">
        <v>3294</v>
      </c>
      <c r="D390" s="697" t="s">
        <v>3354</v>
      </c>
      <c r="E390" s="697" t="s">
        <v>3305</v>
      </c>
      <c r="F390" s="701"/>
      <c r="G390" s="701"/>
      <c r="H390" s="701"/>
      <c r="I390" s="701"/>
      <c r="J390" s="701">
        <v>5</v>
      </c>
      <c r="K390" s="701">
        <v>450.8</v>
      </c>
      <c r="L390" s="701">
        <v>1</v>
      </c>
      <c r="M390" s="701">
        <v>90.16</v>
      </c>
      <c r="N390" s="701"/>
      <c r="O390" s="701"/>
      <c r="P390" s="723"/>
      <c r="Q390" s="702"/>
    </row>
    <row r="391" spans="1:17" ht="14.4" customHeight="1" x14ac:dyDescent="0.3">
      <c r="A391" s="696" t="s">
        <v>505</v>
      </c>
      <c r="B391" s="697" t="s">
        <v>2707</v>
      </c>
      <c r="C391" s="697" t="s">
        <v>3294</v>
      </c>
      <c r="D391" s="697" t="s">
        <v>3355</v>
      </c>
      <c r="E391" s="697" t="s">
        <v>3356</v>
      </c>
      <c r="F391" s="701">
        <v>1</v>
      </c>
      <c r="G391" s="701">
        <v>1831.25</v>
      </c>
      <c r="H391" s="701"/>
      <c r="I391" s="701">
        <v>1831.25</v>
      </c>
      <c r="J391" s="701"/>
      <c r="K391" s="701"/>
      <c r="L391" s="701"/>
      <c r="M391" s="701"/>
      <c r="N391" s="701"/>
      <c r="O391" s="701"/>
      <c r="P391" s="723"/>
      <c r="Q391" s="702"/>
    </row>
    <row r="392" spans="1:17" ht="14.4" customHeight="1" x14ac:dyDescent="0.3">
      <c r="A392" s="696" t="s">
        <v>505</v>
      </c>
      <c r="B392" s="697" t="s">
        <v>2707</v>
      </c>
      <c r="C392" s="697" t="s">
        <v>3294</v>
      </c>
      <c r="D392" s="697" t="s">
        <v>3357</v>
      </c>
      <c r="E392" s="697" t="s">
        <v>3358</v>
      </c>
      <c r="F392" s="701">
        <v>1</v>
      </c>
      <c r="G392" s="701">
        <v>12681.98</v>
      </c>
      <c r="H392" s="701"/>
      <c r="I392" s="701">
        <v>12681.98</v>
      </c>
      <c r="J392" s="701"/>
      <c r="K392" s="701"/>
      <c r="L392" s="701"/>
      <c r="M392" s="701"/>
      <c r="N392" s="701"/>
      <c r="O392" s="701"/>
      <c r="P392" s="723"/>
      <c r="Q392" s="702"/>
    </row>
    <row r="393" spans="1:17" ht="14.4" customHeight="1" x14ac:dyDescent="0.3">
      <c r="A393" s="696" t="s">
        <v>505</v>
      </c>
      <c r="B393" s="697" t="s">
        <v>2707</v>
      </c>
      <c r="C393" s="697" t="s">
        <v>3294</v>
      </c>
      <c r="D393" s="697" t="s">
        <v>3359</v>
      </c>
      <c r="E393" s="697" t="s">
        <v>3360</v>
      </c>
      <c r="F393" s="701">
        <v>1</v>
      </c>
      <c r="G393" s="701">
        <v>1486.15</v>
      </c>
      <c r="H393" s="701">
        <v>0.5</v>
      </c>
      <c r="I393" s="701">
        <v>1486.15</v>
      </c>
      <c r="J393" s="701">
        <v>2</v>
      </c>
      <c r="K393" s="701">
        <v>2972.3</v>
      </c>
      <c r="L393" s="701">
        <v>1</v>
      </c>
      <c r="M393" s="701">
        <v>1486.15</v>
      </c>
      <c r="N393" s="701">
        <v>1</v>
      </c>
      <c r="O393" s="701">
        <v>1486.15</v>
      </c>
      <c r="P393" s="723">
        <v>0.5</v>
      </c>
      <c r="Q393" s="702">
        <v>1486.15</v>
      </c>
    </row>
    <row r="394" spans="1:17" ht="14.4" customHeight="1" x14ac:dyDescent="0.3">
      <c r="A394" s="696" t="s">
        <v>505</v>
      </c>
      <c r="B394" s="697" t="s">
        <v>2707</v>
      </c>
      <c r="C394" s="697" t="s">
        <v>3294</v>
      </c>
      <c r="D394" s="697" t="s">
        <v>3361</v>
      </c>
      <c r="E394" s="697" t="s">
        <v>3362</v>
      </c>
      <c r="F394" s="701">
        <v>1</v>
      </c>
      <c r="G394" s="701">
        <v>2834.45</v>
      </c>
      <c r="H394" s="701"/>
      <c r="I394" s="701">
        <v>2834.45</v>
      </c>
      <c r="J394" s="701"/>
      <c r="K394" s="701"/>
      <c r="L394" s="701"/>
      <c r="M394" s="701"/>
      <c r="N394" s="701"/>
      <c r="O394" s="701"/>
      <c r="P394" s="723"/>
      <c r="Q394" s="702"/>
    </row>
    <row r="395" spans="1:17" ht="14.4" customHeight="1" x14ac:dyDescent="0.3">
      <c r="A395" s="696" t="s">
        <v>505</v>
      </c>
      <c r="B395" s="697" t="s">
        <v>2707</v>
      </c>
      <c r="C395" s="697" t="s">
        <v>3294</v>
      </c>
      <c r="D395" s="697" t="s">
        <v>3363</v>
      </c>
      <c r="E395" s="697" t="s">
        <v>3362</v>
      </c>
      <c r="F395" s="701">
        <v>1</v>
      </c>
      <c r="G395" s="701">
        <v>4301.95</v>
      </c>
      <c r="H395" s="701"/>
      <c r="I395" s="701">
        <v>4301.95</v>
      </c>
      <c r="J395" s="701"/>
      <c r="K395" s="701"/>
      <c r="L395" s="701"/>
      <c r="M395" s="701"/>
      <c r="N395" s="701"/>
      <c r="O395" s="701"/>
      <c r="P395" s="723"/>
      <c r="Q395" s="702"/>
    </row>
    <row r="396" spans="1:17" ht="14.4" customHeight="1" x14ac:dyDescent="0.3">
      <c r="A396" s="696" t="s">
        <v>505</v>
      </c>
      <c r="B396" s="697" t="s">
        <v>2707</v>
      </c>
      <c r="C396" s="697" t="s">
        <v>3294</v>
      </c>
      <c r="D396" s="697" t="s">
        <v>3364</v>
      </c>
      <c r="E396" s="697" t="s">
        <v>3365</v>
      </c>
      <c r="F396" s="701">
        <v>3</v>
      </c>
      <c r="G396" s="701">
        <v>7875.33</v>
      </c>
      <c r="H396" s="701"/>
      <c r="I396" s="701">
        <v>2625.11</v>
      </c>
      <c r="J396" s="701"/>
      <c r="K396" s="701"/>
      <c r="L396" s="701"/>
      <c r="M396" s="701"/>
      <c r="N396" s="701"/>
      <c r="O396" s="701"/>
      <c r="P396" s="723"/>
      <c r="Q396" s="702"/>
    </row>
    <row r="397" spans="1:17" ht="14.4" customHeight="1" x14ac:dyDescent="0.3">
      <c r="A397" s="696" t="s">
        <v>505</v>
      </c>
      <c r="B397" s="697" t="s">
        <v>2707</v>
      </c>
      <c r="C397" s="697" t="s">
        <v>3294</v>
      </c>
      <c r="D397" s="697" t="s">
        <v>3366</v>
      </c>
      <c r="E397" s="697" t="s">
        <v>3367</v>
      </c>
      <c r="F397" s="701">
        <v>2</v>
      </c>
      <c r="G397" s="701">
        <v>1448.84</v>
      </c>
      <c r="H397" s="701"/>
      <c r="I397" s="701">
        <v>724.42</v>
      </c>
      <c r="J397" s="701"/>
      <c r="K397" s="701"/>
      <c r="L397" s="701"/>
      <c r="M397" s="701"/>
      <c r="N397" s="701"/>
      <c r="O397" s="701"/>
      <c r="P397" s="723"/>
      <c r="Q397" s="702"/>
    </row>
    <row r="398" spans="1:17" ht="14.4" customHeight="1" x14ac:dyDescent="0.3">
      <c r="A398" s="696" t="s">
        <v>505</v>
      </c>
      <c r="B398" s="697" t="s">
        <v>2707</v>
      </c>
      <c r="C398" s="697" t="s">
        <v>3294</v>
      </c>
      <c r="D398" s="697" t="s">
        <v>3368</v>
      </c>
      <c r="E398" s="697" t="s">
        <v>3369</v>
      </c>
      <c r="F398" s="701">
        <v>1</v>
      </c>
      <c r="G398" s="701">
        <v>239.4</v>
      </c>
      <c r="H398" s="701"/>
      <c r="I398" s="701">
        <v>239.4</v>
      </c>
      <c r="J398" s="701"/>
      <c r="K398" s="701"/>
      <c r="L398" s="701"/>
      <c r="M398" s="701"/>
      <c r="N398" s="701"/>
      <c r="O398" s="701"/>
      <c r="P398" s="723"/>
      <c r="Q398" s="702"/>
    </row>
    <row r="399" spans="1:17" ht="14.4" customHeight="1" x14ac:dyDescent="0.3">
      <c r="A399" s="696" t="s">
        <v>505</v>
      </c>
      <c r="B399" s="697" t="s">
        <v>2707</v>
      </c>
      <c r="C399" s="697" t="s">
        <v>3294</v>
      </c>
      <c r="D399" s="697" t="s">
        <v>3370</v>
      </c>
      <c r="E399" s="697" t="s">
        <v>3371</v>
      </c>
      <c r="F399" s="701">
        <v>3</v>
      </c>
      <c r="G399" s="701">
        <v>3743.34</v>
      </c>
      <c r="H399" s="701"/>
      <c r="I399" s="701">
        <v>1247.78</v>
      </c>
      <c r="J399" s="701"/>
      <c r="K399" s="701"/>
      <c r="L399" s="701"/>
      <c r="M399" s="701"/>
      <c r="N399" s="701">
        <v>1</v>
      </c>
      <c r="O399" s="701">
        <v>1247.78</v>
      </c>
      <c r="P399" s="723"/>
      <c r="Q399" s="702">
        <v>1247.78</v>
      </c>
    </row>
    <row r="400" spans="1:17" ht="14.4" customHeight="1" x14ac:dyDescent="0.3">
      <c r="A400" s="696" t="s">
        <v>505</v>
      </c>
      <c r="B400" s="697" t="s">
        <v>2707</v>
      </c>
      <c r="C400" s="697" t="s">
        <v>3294</v>
      </c>
      <c r="D400" s="697" t="s">
        <v>3372</v>
      </c>
      <c r="E400" s="697" t="s">
        <v>3371</v>
      </c>
      <c r="F400" s="701">
        <v>8</v>
      </c>
      <c r="G400" s="701">
        <v>11375.12</v>
      </c>
      <c r="H400" s="701"/>
      <c r="I400" s="701">
        <v>1421.89</v>
      </c>
      <c r="J400" s="701"/>
      <c r="K400" s="701"/>
      <c r="L400" s="701"/>
      <c r="M400" s="701"/>
      <c r="N400" s="701">
        <v>2</v>
      </c>
      <c r="O400" s="701">
        <v>2843.78</v>
      </c>
      <c r="P400" s="723"/>
      <c r="Q400" s="702">
        <v>1421.89</v>
      </c>
    </row>
    <row r="401" spans="1:17" ht="14.4" customHeight="1" x14ac:dyDescent="0.3">
      <c r="A401" s="696" t="s">
        <v>505</v>
      </c>
      <c r="B401" s="697" t="s">
        <v>2707</v>
      </c>
      <c r="C401" s="697" t="s">
        <v>3294</v>
      </c>
      <c r="D401" s="697" t="s">
        <v>3373</v>
      </c>
      <c r="E401" s="697" t="s">
        <v>3371</v>
      </c>
      <c r="F401" s="701">
        <v>13</v>
      </c>
      <c r="G401" s="701">
        <v>21529.43</v>
      </c>
      <c r="H401" s="701"/>
      <c r="I401" s="701">
        <v>1656.1100000000001</v>
      </c>
      <c r="J401" s="701"/>
      <c r="K401" s="701"/>
      <c r="L401" s="701"/>
      <c r="M401" s="701"/>
      <c r="N401" s="701">
        <v>4</v>
      </c>
      <c r="O401" s="701">
        <v>6624.44</v>
      </c>
      <c r="P401" s="723"/>
      <c r="Q401" s="702">
        <v>1656.11</v>
      </c>
    </row>
    <row r="402" spans="1:17" ht="14.4" customHeight="1" x14ac:dyDescent="0.3">
      <c r="A402" s="696" t="s">
        <v>505</v>
      </c>
      <c r="B402" s="697" t="s">
        <v>2707</v>
      </c>
      <c r="C402" s="697" t="s">
        <v>3294</v>
      </c>
      <c r="D402" s="697" t="s">
        <v>3374</v>
      </c>
      <c r="E402" s="697" t="s">
        <v>3375</v>
      </c>
      <c r="F402" s="701">
        <v>5</v>
      </c>
      <c r="G402" s="701">
        <v>7099.1</v>
      </c>
      <c r="H402" s="701">
        <v>1.6666666666666667</v>
      </c>
      <c r="I402" s="701">
        <v>1419.8200000000002</v>
      </c>
      <c r="J402" s="701">
        <v>3</v>
      </c>
      <c r="K402" s="701">
        <v>4259.46</v>
      </c>
      <c r="L402" s="701">
        <v>1</v>
      </c>
      <c r="M402" s="701">
        <v>1419.82</v>
      </c>
      <c r="N402" s="701">
        <v>3</v>
      </c>
      <c r="O402" s="701">
        <v>4259.46</v>
      </c>
      <c r="P402" s="723">
        <v>1</v>
      </c>
      <c r="Q402" s="702">
        <v>1419.82</v>
      </c>
    </row>
    <row r="403" spans="1:17" ht="14.4" customHeight="1" x14ac:dyDescent="0.3">
      <c r="A403" s="696" t="s">
        <v>505</v>
      </c>
      <c r="B403" s="697" t="s">
        <v>2707</v>
      </c>
      <c r="C403" s="697" t="s">
        <v>3294</v>
      </c>
      <c r="D403" s="697" t="s">
        <v>3376</v>
      </c>
      <c r="E403" s="697" t="s">
        <v>3375</v>
      </c>
      <c r="F403" s="701">
        <v>1</v>
      </c>
      <c r="G403" s="701">
        <v>1547.29</v>
      </c>
      <c r="H403" s="701">
        <v>0.5</v>
      </c>
      <c r="I403" s="701">
        <v>1547.29</v>
      </c>
      <c r="J403" s="701">
        <v>2</v>
      </c>
      <c r="K403" s="701">
        <v>3094.58</v>
      </c>
      <c r="L403" s="701">
        <v>1</v>
      </c>
      <c r="M403" s="701">
        <v>1547.29</v>
      </c>
      <c r="N403" s="701">
        <v>5</v>
      </c>
      <c r="O403" s="701">
        <v>7736.45</v>
      </c>
      <c r="P403" s="723">
        <v>2.5</v>
      </c>
      <c r="Q403" s="702">
        <v>1547.29</v>
      </c>
    </row>
    <row r="404" spans="1:17" ht="14.4" customHeight="1" x14ac:dyDescent="0.3">
      <c r="A404" s="696" t="s">
        <v>505</v>
      </c>
      <c r="B404" s="697" t="s">
        <v>2707</v>
      </c>
      <c r="C404" s="697" t="s">
        <v>3294</v>
      </c>
      <c r="D404" s="697" t="s">
        <v>3377</v>
      </c>
      <c r="E404" s="697" t="s">
        <v>3375</v>
      </c>
      <c r="F404" s="701"/>
      <c r="G404" s="701"/>
      <c r="H404" s="701"/>
      <c r="I404" s="701"/>
      <c r="J404" s="701"/>
      <c r="K404" s="701"/>
      <c r="L404" s="701"/>
      <c r="M404" s="701"/>
      <c r="N404" s="701">
        <v>1</v>
      </c>
      <c r="O404" s="701">
        <v>1644.71</v>
      </c>
      <c r="P404" s="723"/>
      <c r="Q404" s="702">
        <v>1644.71</v>
      </c>
    </row>
    <row r="405" spans="1:17" ht="14.4" customHeight="1" x14ac:dyDescent="0.3">
      <c r="A405" s="696" t="s">
        <v>505</v>
      </c>
      <c r="B405" s="697" t="s">
        <v>2707</v>
      </c>
      <c r="C405" s="697" t="s">
        <v>3294</v>
      </c>
      <c r="D405" s="697" t="s">
        <v>3378</v>
      </c>
      <c r="E405" s="697" t="s">
        <v>3379</v>
      </c>
      <c r="F405" s="701">
        <v>3</v>
      </c>
      <c r="G405" s="701">
        <v>14503.920000000002</v>
      </c>
      <c r="H405" s="701"/>
      <c r="I405" s="701">
        <v>4834.6400000000003</v>
      </c>
      <c r="J405" s="701"/>
      <c r="K405" s="701"/>
      <c r="L405" s="701"/>
      <c r="M405" s="701"/>
      <c r="N405" s="701"/>
      <c r="O405" s="701"/>
      <c r="P405" s="723"/>
      <c r="Q405" s="702"/>
    </row>
    <row r="406" spans="1:17" ht="14.4" customHeight="1" x14ac:dyDescent="0.3">
      <c r="A406" s="696" t="s">
        <v>505</v>
      </c>
      <c r="B406" s="697" t="s">
        <v>2707</v>
      </c>
      <c r="C406" s="697" t="s">
        <v>3294</v>
      </c>
      <c r="D406" s="697" t="s">
        <v>3380</v>
      </c>
      <c r="E406" s="697" t="s">
        <v>3381</v>
      </c>
      <c r="F406" s="701">
        <v>1</v>
      </c>
      <c r="G406" s="701">
        <v>5082.22</v>
      </c>
      <c r="H406" s="701"/>
      <c r="I406" s="701">
        <v>5082.22</v>
      </c>
      <c r="J406" s="701"/>
      <c r="K406" s="701"/>
      <c r="L406" s="701"/>
      <c r="M406" s="701"/>
      <c r="N406" s="701"/>
      <c r="O406" s="701"/>
      <c r="P406" s="723"/>
      <c r="Q406" s="702"/>
    </row>
    <row r="407" spans="1:17" ht="14.4" customHeight="1" x14ac:dyDescent="0.3">
      <c r="A407" s="696" t="s">
        <v>505</v>
      </c>
      <c r="B407" s="697" t="s">
        <v>2707</v>
      </c>
      <c r="C407" s="697" t="s">
        <v>3294</v>
      </c>
      <c r="D407" s="697" t="s">
        <v>3382</v>
      </c>
      <c r="E407" s="697" t="s">
        <v>3383</v>
      </c>
      <c r="F407" s="701">
        <v>37.4</v>
      </c>
      <c r="G407" s="701">
        <v>29519.439999999999</v>
      </c>
      <c r="H407" s="701">
        <v>2.3229825395276515</v>
      </c>
      <c r="I407" s="701">
        <v>789.28983957219248</v>
      </c>
      <c r="J407" s="701">
        <v>16.100000000000001</v>
      </c>
      <c r="K407" s="701">
        <v>12707.559999999998</v>
      </c>
      <c r="L407" s="701">
        <v>1</v>
      </c>
      <c r="M407" s="701">
        <v>789.28944099378862</v>
      </c>
      <c r="N407" s="701">
        <v>13</v>
      </c>
      <c r="O407" s="701">
        <v>10260.77</v>
      </c>
      <c r="P407" s="723">
        <v>0.80745398801973012</v>
      </c>
      <c r="Q407" s="702">
        <v>789.29000000000008</v>
      </c>
    </row>
    <row r="408" spans="1:17" ht="14.4" customHeight="1" x14ac:dyDescent="0.3">
      <c r="A408" s="696" t="s">
        <v>505</v>
      </c>
      <c r="B408" s="697" t="s">
        <v>2707</v>
      </c>
      <c r="C408" s="697" t="s">
        <v>3294</v>
      </c>
      <c r="D408" s="697" t="s">
        <v>3384</v>
      </c>
      <c r="E408" s="697" t="s">
        <v>3385</v>
      </c>
      <c r="F408" s="701">
        <v>1</v>
      </c>
      <c r="G408" s="701">
        <v>8222.51</v>
      </c>
      <c r="H408" s="701"/>
      <c r="I408" s="701">
        <v>8222.51</v>
      </c>
      <c r="J408" s="701"/>
      <c r="K408" s="701"/>
      <c r="L408" s="701"/>
      <c r="M408" s="701"/>
      <c r="N408" s="701"/>
      <c r="O408" s="701"/>
      <c r="P408" s="723"/>
      <c r="Q408" s="702"/>
    </row>
    <row r="409" spans="1:17" ht="14.4" customHeight="1" x14ac:dyDescent="0.3">
      <c r="A409" s="696" t="s">
        <v>505</v>
      </c>
      <c r="B409" s="697" t="s">
        <v>2707</v>
      </c>
      <c r="C409" s="697" t="s">
        <v>3294</v>
      </c>
      <c r="D409" s="697" t="s">
        <v>3386</v>
      </c>
      <c r="E409" s="697" t="s">
        <v>3375</v>
      </c>
      <c r="F409" s="701">
        <v>4</v>
      </c>
      <c r="G409" s="701">
        <v>5098.92</v>
      </c>
      <c r="H409" s="701">
        <v>2</v>
      </c>
      <c r="I409" s="701">
        <v>1274.73</v>
      </c>
      <c r="J409" s="701">
        <v>2</v>
      </c>
      <c r="K409" s="701">
        <v>2549.46</v>
      </c>
      <c r="L409" s="701">
        <v>1</v>
      </c>
      <c r="M409" s="701">
        <v>1274.73</v>
      </c>
      <c r="N409" s="701">
        <v>1</v>
      </c>
      <c r="O409" s="701">
        <v>1274.73</v>
      </c>
      <c r="P409" s="723">
        <v>0.5</v>
      </c>
      <c r="Q409" s="702">
        <v>1274.73</v>
      </c>
    </row>
    <row r="410" spans="1:17" ht="14.4" customHeight="1" x14ac:dyDescent="0.3">
      <c r="A410" s="696" t="s">
        <v>505</v>
      </c>
      <c r="B410" s="697" t="s">
        <v>2707</v>
      </c>
      <c r="C410" s="697" t="s">
        <v>3294</v>
      </c>
      <c r="D410" s="697" t="s">
        <v>3387</v>
      </c>
      <c r="E410" s="697" t="s">
        <v>3388</v>
      </c>
      <c r="F410" s="701"/>
      <c r="G410" s="701"/>
      <c r="H410" s="701"/>
      <c r="I410" s="701"/>
      <c r="J410" s="701">
        <v>1</v>
      </c>
      <c r="K410" s="701">
        <v>12640.53</v>
      </c>
      <c r="L410" s="701">
        <v>1</v>
      </c>
      <c r="M410" s="701">
        <v>12640.53</v>
      </c>
      <c r="N410" s="701"/>
      <c r="O410" s="701"/>
      <c r="P410" s="723"/>
      <c r="Q410" s="702"/>
    </row>
    <row r="411" spans="1:17" ht="14.4" customHeight="1" x14ac:dyDescent="0.3">
      <c r="A411" s="696" t="s">
        <v>505</v>
      </c>
      <c r="B411" s="697" t="s">
        <v>2707</v>
      </c>
      <c r="C411" s="697" t="s">
        <v>3294</v>
      </c>
      <c r="D411" s="697" t="s">
        <v>3389</v>
      </c>
      <c r="E411" s="697" t="s">
        <v>3390</v>
      </c>
      <c r="F411" s="701">
        <v>1</v>
      </c>
      <c r="G411" s="701">
        <v>13282.04</v>
      </c>
      <c r="H411" s="701"/>
      <c r="I411" s="701">
        <v>13282.04</v>
      </c>
      <c r="J411" s="701"/>
      <c r="K411" s="701"/>
      <c r="L411" s="701"/>
      <c r="M411" s="701"/>
      <c r="N411" s="701"/>
      <c r="O411" s="701"/>
      <c r="P411" s="723"/>
      <c r="Q411" s="702"/>
    </row>
    <row r="412" spans="1:17" ht="14.4" customHeight="1" x14ac:dyDescent="0.3">
      <c r="A412" s="696" t="s">
        <v>505</v>
      </c>
      <c r="B412" s="697" t="s">
        <v>2707</v>
      </c>
      <c r="C412" s="697" t="s">
        <v>3294</v>
      </c>
      <c r="D412" s="697" t="s">
        <v>3391</v>
      </c>
      <c r="E412" s="697" t="s">
        <v>3392</v>
      </c>
      <c r="F412" s="701">
        <v>2</v>
      </c>
      <c r="G412" s="701">
        <v>21257.9</v>
      </c>
      <c r="H412" s="701"/>
      <c r="I412" s="701">
        <v>10628.95</v>
      </c>
      <c r="J412" s="701"/>
      <c r="K412" s="701"/>
      <c r="L412" s="701"/>
      <c r="M412" s="701"/>
      <c r="N412" s="701"/>
      <c r="O412" s="701"/>
      <c r="P412" s="723"/>
      <c r="Q412" s="702"/>
    </row>
    <row r="413" spans="1:17" ht="14.4" customHeight="1" x14ac:dyDescent="0.3">
      <c r="A413" s="696" t="s">
        <v>505</v>
      </c>
      <c r="B413" s="697" t="s">
        <v>2707</v>
      </c>
      <c r="C413" s="697" t="s">
        <v>3294</v>
      </c>
      <c r="D413" s="697" t="s">
        <v>3393</v>
      </c>
      <c r="E413" s="697" t="s">
        <v>3394</v>
      </c>
      <c r="F413" s="701">
        <v>2</v>
      </c>
      <c r="G413" s="701">
        <v>2190.46</v>
      </c>
      <c r="H413" s="701"/>
      <c r="I413" s="701">
        <v>1095.23</v>
      </c>
      <c r="J413" s="701"/>
      <c r="K413" s="701"/>
      <c r="L413" s="701"/>
      <c r="M413" s="701"/>
      <c r="N413" s="701"/>
      <c r="O413" s="701"/>
      <c r="P413" s="723"/>
      <c r="Q413" s="702"/>
    </row>
    <row r="414" spans="1:17" ht="14.4" customHeight="1" x14ac:dyDescent="0.3">
      <c r="A414" s="696" t="s">
        <v>505</v>
      </c>
      <c r="B414" s="697" t="s">
        <v>2707</v>
      </c>
      <c r="C414" s="697" t="s">
        <v>3294</v>
      </c>
      <c r="D414" s="697" t="s">
        <v>3395</v>
      </c>
      <c r="E414" s="697" t="s">
        <v>3396</v>
      </c>
      <c r="F414" s="701">
        <v>8</v>
      </c>
      <c r="G414" s="701">
        <v>7221.36</v>
      </c>
      <c r="H414" s="701"/>
      <c r="I414" s="701">
        <v>902.67</v>
      </c>
      <c r="J414" s="701"/>
      <c r="K414" s="701"/>
      <c r="L414" s="701"/>
      <c r="M414" s="701"/>
      <c r="N414" s="701"/>
      <c r="O414" s="701"/>
      <c r="P414" s="723"/>
      <c r="Q414" s="702"/>
    </row>
    <row r="415" spans="1:17" ht="14.4" customHeight="1" x14ac:dyDescent="0.3">
      <c r="A415" s="696" t="s">
        <v>505</v>
      </c>
      <c r="B415" s="697" t="s">
        <v>2707</v>
      </c>
      <c r="C415" s="697" t="s">
        <v>3294</v>
      </c>
      <c r="D415" s="697" t="s">
        <v>3397</v>
      </c>
      <c r="E415" s="697" t="s">
        <v>3396</v>
      </c>
      <c r="F415" s="701">
        <v>6</v>
      </c>
      <c r="G415" s="701">
        <v>6176.52</v>
      </c>
      <c r="H415" s="701"/>
      <c r="I415" s="701">
        <v>1029.42</v>
      </c>
      <c r="J415" s="701"/>
      <c r="K415" s="701"/>
      <c r="L415" s="701"/>
      <c r="M415" s="701"/>
      <c r="N415" s="701">
        <v>9</v>
      </c>
      <c r="O415" s="701">
        <v>9264.7800000000007</v>
      </c>
      <c r="P415" s="723"/>
      <c r="Q415" s="702">
        <v>1029.42</v>
      </c>
    </row>
    <row r="416" spans="1:17" ht="14.4" customHeight="1" x14ac:dyDescent="0.3">
      <c r="A416" s="696" t="s">
        <v>505</v>
      </c>
      <c r="B416" s="697" t="s">
        <v>2707</v>
      </c>
      <c r="C416" s="697" t="s">
        <v>3294</v>
      </c>
      <c r="D416" s="697" t="s">
        <v>3398</v>
      </c>
      <c r="E416" s="697" t="s">
        <v>3399</v>
      </c>
      <c r="F416" s="701">
        <v>2</v>
      </c>
      <c r="G416" s="701">
        <v>19008.98</v>
      </c>
      <c r="H416" s="701"/>
      <c r="I416" s="701">
        <v>9504.49</v>
      </c>
      <c r="J416" s="701"/>
      <c r="K416" s="701"/>
      <c r="L416" s="701"/>
      <c r="M416" s="701"/>
      <c r="N416" s="701"/>
      <c r="O416" s="701"/>
      <c r="P416" s="723"/>
      <c r="Q416" s="702"/>
    </row>
    <row r="417" spans="1:17" ht="14.4" customHeight="1" x14ac:dyDescent="0.3">
      <c r="A417" s="696" t="s">
        <v>505</v>
      </c>
      <c r="B417" s="697" t="s">
        <v>2707</v>
      </c>
      <c r="C417" s="697" t="s">
        <v>3294</v>
      </c>
      <c r="D417" s="697" t="s">
        <v>3400</v>
      </c>
      <c r="E417" s="697" t="s">
        <v>3401</v>
      </c>
      <c r="F417" s="701">
        <v>1</v>
      </c>
      <c r="G417" s="701">
        <v>28950</v>
      </c>
      <c r="H417" s="701">
        <v>0.5</v>
      </c>
      <c r="I417" s="701">
        <v>28950</v>
      </c>
      <c r="J417" s="701">
        <v>2</v>
      </c>
      <c r="K417" s="701">
        <v>57900</v>
      </c>
      <c r="L417" s="701">
        <v>1</v>
      </c>
      <c r="M417" s="701">
        <v>28950</v>
      </c>
      <c r="N417" s="701"/>
      <c r="O417" s="701"/>
      <c r="P417" s="723"/>
      <c r="Q417" s="702"/>
    </row>
    <row r="418" spans="1:17" ht="14.4" customHeight="1" x14ac:dyDescent="0.3">
      <c r="A418" s="696" t="s">
        <v>505</v>
      </c>
      <c r="B418" s="697" t="s">
        <v>2707</v>
      </c>
      <c r="C418" s="697" t="s">
        <v>3294</v>
      </c>
      <c r="D418" s="697" t="s">
        <v>3402</v>
      </c>
      <c r="E418" s="697" t="s">
        <v>3403</v>
      </c>
      <c r="F418" s="701">
        <v>1</v>
      </c>
      <c r="G418" s="701">
        <v>60099</v>
      </c>
      <c r="H418" s="701">
        <v>0.5</v>
      </c>
      <c r="I418" s="701">
        <v>60099</v>
      </c>
      <c r="J418" s="701">
        <v>2</v>
      </c>
      <c r="K418" s="701">
        <v>120198</v>
      </c>
      <c r="L418" s="701">
        <v>1</v>
      </c>
      <c r="M418" s="701">
        <v>60099</v>
      </c>
      <c r="N418" s="701"/>
      <c r="O418" s="701"/>
      <c r="P418" s="723"/>
      <c r="Q418" s="702"/>
    </row>
    <row r="419" spans="1:17" ht="14.4" customHeight="1" x14ac:dyDescent="0.3">
      <c r="A419" s="696" t="s">
        <v>505</v>
      </c>
      <c r="B419" s="697" t="s">
        <v>2707</v>
      </c>
      <c r="C419" s="697" t="s">
        <v>3294</v>
      </c>
      <c r="D419" s="697" t="s">
        <v>3404</v>
      </c>
      <c r="E419" s="697" t="s">
        <v>3405</v>
      </c>
      <c r="F419" s="701"/>
      <c r="G419" s="701"/>
      <c r="H419" s="701"/>
      <c r="I419" s="701"/>
      <c r="J419" s="701">
        <v>1</v>
      </c>
      <c r="K419" s="701">
        <v>1707.31</v>
      </c>
      <c r="L419" s="701">
        <v>1</v>
      </c>
      <c r="M419" s="701">
        <v>1707.31</v>
      </c>
      <c r="N419" s="701"/>
      <c r="O419" s="701"/>
      <c r="P419" s="723"/>
      <c r="Q419" s="702"/>
    </row>
    <row r="420" spans="1:17" ht="14.4" customHeight="1" x14ac:dyDescent="0.3">
      <c r="A420" s="696" t="s">
        <v>505</v>
      </c>
      <c r="B420" s="697" t="s">
        <v>2707</v>
      </c>
      <c r="C420" s="697" t="s">
        <v>3294</v>
      </c>
      <c r="D420" s="697" t="s">
        <v>3406</v>
      </c>
      <c r="E420" s="697" t="s">
        <v>3407</v>
      </c>
      <c r="F420" s="701"/>
      <c r="G420" s="701"/>
      <c r="H420" s="701"/>
      <c r="I420" s="701"/>
      <c r="J420" s="701"/>
      <c r="K420" s="701"/>
      <c r="L420" s="701"/>
      <c r="M420" s="701"/>
      <c r="N420" s="701">
        <v>2</v>
      </c>
      <c r="O420" s="701">
        <v>8985.3799999999992</v>
      </c>
      <c r="P420" s="723"/>
      <c r="Q420" s="702">
        <v>4492.6899999999996</v>
      </c>
    </row>
    <row r="421" spans="1:17" ht="14.4" customHeight="1" x14ac:dyDescent="0.3">
      <c r="A421" s="696" t="s">
        <v>505</v>
      </c>
      <c r="B421" s="697" t="s">
        <v>2707</v>
      </c>
      <c r="C421" s="697" t="s">
        <v>3294</v>
      </c>
      <c r="D421" s="697" t="s">
        <v>3408</v>
      </c>
      <c r="E421" s="697" t="s">
        <v>3409</v>
      </c>
      <c r="F421" s="701"/>
      <c r="G421" s="701"/>
      <c r="H421" s="701"/>
      <c r="I421" s="701"/>
      <c r="J421" s="701">
        <v>6</v>
      </c>
      <c r="K421" s="701">
        <v>3824.16</v>
      </c>
      <c r="L421" s="701">
        <v>1</v>
      </c>
      <c r="M421" s="701">
        <v>637.36</v>
      </c>
      <c r="N421" s="701">
        <v>1</v>
      </c>
      <c r="O421" s="701">
        <v>637.36</v>
      </c>
      <c r="P421" s="723">
        <v>0.16666666666666669</v>
      </c>
      <c r="Q421" s="702">
        <v>637.36</v>
      </c>
    </row>
    <row r="422" spans="1:17" ht="14.4" customHeight="1" x14ac:dyDescent="0.3">
      <c r="A422" s="696" t="s">
        <v>505</v>
      </c>
      <c r="B422" s="697" t="s">
        <v>2707</v>
      </c>
      <c r="C422" s="697" t="s">
        <v>3294</v>
      </c>
      <c r="D422" s="697" t="s">
        <v>3410</v>
      </c>
      <c r="E422" s="697" t="s">
        <v>3411</v>
      </c>
      <c r="F422" s="701"/>
      <c r="G422" s="701"/>
      <c r="H422" s="701"/>
      <c r="I422" s="701"/>
      <c r="J422" s="701">
        <v>1</v>
      </c>
      <c r="K422" s="701">
        <v>595</v>
      </c>
      <c r="L422" s="701">
        <v>1</v>
      </c>
      <c r="M422" s="701">
        <v>595</v>
      </c>
      <c r="N422" s="701"/>
      <c r="O422" s="701"/>
      <c r="P422" s="723"/>
      <c r="Q422" s="702"/>
    </row>
    <row r="423" spans="1:17" ht="14.4" customHeight="1" x14ac:dyDescent="0.3">
      <c r="A423" s="696" t="s">
        <v>505</v>
      </c>
      <c r="B423" s="697" t="s">
        <v>2707</v>
      </c>
      <c r="C423" s="697" t="s">
        <v>3294</v>
      </c>
      <c r="D423" s="697" t="s">
        <v>3412</v>
      </c>
      <c r="E423" s="697" t="s">
        <v>3413</v>
      </c>
      <c r="F423" s="701">
        <v>2</v>
      </c>
      <c r="G423" s="701">
        <v>1803.28</v>
      </c>
      <c r="H423" s="701"/>
      <c r="I423" s="701">
        <v>901.64</v>
      </c>
      <c r="J423" s="701"/>
      <c r="K423" s="701"/>
      <c r="L423" s="701"/>
      <c r="M423" s="701"/>
      <c r="N423" s="701"/>
      <c r="O423" s="701"/>
      <c r="P423" s="723"/>
      <c r="Q423" s="702"/>
    </row>
    <row r="424" spans="1:17" ht="14.4" customHeight="1" x14ac:dyDescent="0.3">
      <c r="A424" s="696" t="s">
        <v>505</v>
      </c>
      <c r="B424" s="697" t="s">
        <v>2707</v>
      </c>
      <c r="C424" s="697" t="s">
        <v>3294</v>
      </c>
      <c r="D424" s="697" t="s">
        <v>3414</v>
      </c>
      <c r="E424" s="697" t="s">
        <v>3415</v>
      </c>
      <c r="F424" s="701">
        <v>1</v>
      </c>
      <c r="G424" s="701">
        <v>11201.4</v>
      </c>
      <c r="H424" s="701">
        <v>1</v>
      </c>
      <c r="I424" s="701">
        <v>11201.4</v>
      </c>
      <c r="J424" s="701">
        <v>1</v>
      </c>
      <c r="K424" s="701">
        <v>11201.4</v>
      </c>
      <c r="L424" s="701">
        <v>1</v>
      </c>
      <c r="M424" s="701">
        <v>11201.4</v>
      </c>
      <c r="N424" s="701"/>
      <c r="O424" s="701"/>
      <c r="P424" s="723"/>
      <c r="Q424" s="702"/>
    </row>
    <row r="425" spans="1:17" ht="14.4" customHeight="1" x14ac:dyDescent="0.3">
      <c r="A425" s="696" t="s">
        <v>505</v>
      </c>
      <c r="B425" s="697" t="s">
        <v>2707</v>
      </c>
      <c r="C425" s="697" t="s">
        <v>3294</v>
      </c>
      <c r="D425" s="697" t="s">
        <v>3416</v>
      </c>
      <c r="E425" s="697" t="s">
        <v>3417</v>
      </c>
      <c r="F425" s="701"/>
      <c r="G425" s="701"/>
      <c r="H425" s="701"/>
      <c r="I425" s="701"/>
      <c r="J425" s="701">
        <v>1</v>
      </c>
      <c r="K425" s="701">
        <v>9701</v>
      </c>
      <c r="L425" s="701">
        <v>1</v>
      </c>
      <c r="M425" s="701">
        <v>9701</v>
      </c>
      <c r="N425" s="701"/>
      <c r="O425" s="701"/>
      <c r="P425" s="723"/>
      <c r="Q425" s="702"/>
    </row>
    <row r="426" spans="1:17" ht="14.4" customHeight="1" x14ac:dyDescent="0.3">
      <c r="A426" s="696" t="s">
        <v>505</v>
      </c>
      <c r="B426" s="697" t="s">
        <v>2707</v>
      </c>
      <c r="C426" s="697" t="s">
        <v>3294</v>
      </c>
      <c r="D426" s="697" t="s">
        <v>3418</v>
      </c>
      <c r="E426" s="697" t="s">
        <v>3419</v>
      </c>
      <c r="F426" s="701">
        <v>6</v>
      </c>
      <c r="G426" s="701">
        <v>141649.20000000001</v>
      </c>
      <c r="H426" s="701">
        <v>6</v>
      </c>
      <c r="I426" s="701">
        <v>23608.2</v>
      </c>
      <c r="J426" s="701">
        <v>1</v>
      </c>
      <c r="K426" s="701">
        <v>23608.2</v>
      </c>
      <c r="L426" s="701">
        <v>1</v>
      </c>
      <c r="M426" s="701">
        <v>23608.2</v>
      </c>
      <c r="N426" s="701"/>
      <c r="O426" s="701"/>
      <c r="P426" s="723"/>
      <c r="Q426" s="702"/>
    </row>
    <row r="427" spans="1:17" ht="14.4" customHeight="1" x14ac:dyDescent="0.3">
      <c r="A427" s="696" t="s">
        <v>505</v>
      </c>
      <c r="B427" s="697" t="s">
        <v>2707</v>
      </c>
      <c r="C427" s="697" t="s">
        <v>3294</v>
      </c>
      <c r="D427" s="697" t="s">
        <v>3420</v>
      </c>
      <c r="E427" s="697" t="s">
        <v>3421</v>
      </c>
      <c r="F427" s="701">
        <v>1</v>
      </c>
      <c r="G427" s="701">
        <v>223.85</v>
      </c>
      <c r="H427" s="701">
        <v>0.5</v>
      </c>
      <c r="I427" s="701">
        <v>223.85</v>
      </c>
      <c r="J427" s="701">
        <v>2</v>
      </c>
      <c r="K427" s="701">
        <v>447.7</v>
      </c>
      <c r="L427" s="701">
        <v>1</v>
      </c>
      <c r="M427" s="701">
        <v>223.85</v>
      </c>
      <c r="N427" s="701">
        <v>2</v>
      </c>
      <c r="O427" s="701">
        <v>447.7</v>
      </c>
      <c r="P427" s="723">
        <v>1</v>
      </c>
      <c r="Q427" s="702">
        <v>223.85</v>
      </c>
    </row>
    <row r="428" spans="1:17" ht="14.4" customHeight="1" x14ac:dyDescent="0.3">
      <c r="A428" s="696" t="s">
        <v>505</v>
      </c>
      <c r="B428" s="697" t="s">
        <v>2707</v>
      </c>
      <c r="C428" s="697" t="s">
        <v>3294</v>
      </c>
      <c r="D428" s="697" t="s">
        <v>3422</v>
      </c>
      <c r="E428" s="697" t="s">
        <v>3423</v>
      </c>
      <c r="F428" s="701">
        <v>2</v>
      </c>
      <c r="G428" s="701">
        <v>13194.16</v>
      </c>
      <c r="H428" s="701"/>
      <c r="I428" s="701">
        <v>6597.08</v>
      </c>
      <c r="J428" s="701"/>
      <c r="K428" s="701"/>
      <c r="L428" s="701"/>
      <c r="M428" s="701"/>
      <c r="N428" s="701"/>
      <c r="O428" s="701"/>
      <c r="P428" s="723"/>
      <c r="Q428" s="702"/>
    </row>
    <row r="429" spans="1:17" ht="14.4" customHeight="1" x14ac:dyDescent="0.3">
      <c r="A429" s="696" t="s">
        <v>505</v>
      </c>
      <c r="B429" s="697" t="s">
        <v>2707</v>
      </c>
      <c r="C429" s="697" t="s">
        <v>3294</v>
      </c>
      <c r="D429" s="697" t="s">
        <v>3424</v>
      </c>
      <c r="E429" s="697" t="s">
        <v>3425</v>
      </c>
      <c r="F429" s="701">
        <v>1</v>
      </c>
      <c r="G429" s="701">
        <v>408.74</v>
      </c>
      <c r="H429" s="701"/>
      <c r="I429" s="701">
        <v>408.74</v>
      </c>
      <c r="J429" s="701"/>
      <c r="K429" s="701"/>
      <c r="L429" s="701"/>
      <c r="M429" s="701"/>
      <c r="N429" s="701"/>
      <c r="O429" s="701"/>
      <c r="P429" s="723"/>
      <c r="Q429" s="702"/>
    </row>
    <row r="430" spans="1:17" ht="14.4" customHeight="1" x14ac:dyDescent="0.3">
      <c r="A430" s="696" t="s">
        <v>505</v>
      </c>
      <c r="B430" s="697" t="s">
        <v>2707</v>
      </c>
      <c r="C430" s="697" t="s">
        <v>3294</v>
      </c>
      <c r="D430" s="697" t="s">
        <v>3426</v>
      </c>
      <c r="E430" s="697" t="s">
        <v>3427</v>
      </c>
      <c r="F430" s="701">
        <v>6</v>
      </c>
      <c r="G430" s="701">
        <v>22285.32</v>
      </c>
      <c r="H430" s="701"/>
      <c r="I430" s="701">
        <v>3714.22</v>
      </c>
      <c r="J430" s="701"/>
      <c r="K430" s="701"/>
      <c r="L430" s="701"/>
      <c r="M430" s="701"/>
      <c r="N430" s="701"/>
      <c r="O430" s="701"/>
      <c r="P430" s="723"/>
      <c r="Q430" s="702"/>
    </row>
    <row r="431" spans="1:17" ht="14.4" customHeight="1" x14ac:dyDescent="0.3">
      <c r="A431" s="696" t="s">
        <v>505</v>
      </c>
      <c r="B431" s="697" t="s">
        <v>2707</v>
      </c>
      <c r="C431" s="697" t="s">
        <v>3294</v>
      </c>
      <c r="D431" s="697" t="s">
        <v>3428</v>
      </c>
      <c r="E431" s="697" t="s">
        <v>3429</v>
      </c>
      <c r="F431" s="701"/>
      <c r="G431" s="701"/>
      <c r="H431" s="701"/>
      <c r="I431" s="701"/>
      <c r="J431" s="701"/>
      <c r="K431" s="701"/>
      <c r="L431" s="701"/>
      <c r="M431" s="701"/>
      <c r="N431" s="701">
        <v>1</v>
      </c>
      <c r="O431" s="701">
        <v>1410</v>
      </c>
      <c r="P431" s="723"/>
      <c r="Q431" s="702">
        <v>1410</v>
      </c>
    </row>
    <row r="432" spans="1:17" ht="14.4" customHeight="1" x14ac:dyDescent="0.3">
      <c r="A432" s="696" t="s">
        <v>505</v>
      </c>
      <c r="B432" s="697" t="s">
        <v>2707</v>
      </c>
      <c r="C432" s="697" t="s">
        <v>3294</v>
      </c>
      <c r="D432" s="697" t="s">
        <v>3430</v>
      </c>
      <c r="E432" s="697" t="s">
        <v>3431</v>
      </c>
      <c r="F432" s="701"/>
      <c r="G432" s="701"/>
      <c r="H432" s="701"/>
      <c r="I432" s="701"/>
      <c r="J432" s="701"/>
      <c r="K432" s="701"/>
      <c r="L432" s="701"/>
      <c r="M432" s="701"/>
      <c r="N432" s="701">
        <v>1</v>
      </c>
      <c r="O432" s="701">
        <v>187.97</v>
      </c>
      <c r="P432" s="723"/>
      <c r="Q432" s="702">
        <v>187.97</v>
      </c>
    </row>
    <row r="433" spans="1:17" ht="14.4" customHeight="1" x14ac:dyDescent="0.3">
      <c r="A433" s="696" t="s">
        <v>505</v>
      </c>
      <c r="B433" s="697" t="s">
        <v>2707</v>
      </c>
      <c r="C433" s="697" t="s">
        <v>3294</v>
      </c>
      <c r="D433" s="697" t="s">
        <v>3432</v>
      </c>
      <c r="E433" s="697" t="s">
        <v>3433</v>
      </c>
      <c r="F433" s="701">
        <v>1</v>
      </c>
      <c r="G433" s="701">
        <v>19196.8</v>
      </c>
      <c r="H433" s="701"/>
      <c r="I433" s="701">
        <v>19196.8</v>
      </c>
      <c r="J433" s="701"/>
      <c r="K433" s="701"/>
      <c r="L433" s="701"/>
      <c r="M433" s="701"/>
      <c r="N433" s="701"/>
      <c r="O433" s="701"/>
      <c r="P433" s="723"/>
      <c r="Q433" s="702"/>
    </row>
    <row r="434" spans="1:17" ht="14.4" customHeight="1" x14ac:dyDescent="0.3">
      <c r="A434" s="696" t="s">
        <v>505</v>
      </c>
      <c r="B434" s="697" t="s">
        <v>2707</v>
      </c>
      <c r="C434" s="697" t="s">
        <v>3294</v>
      </c>
      <c r="D434" s="697" t="s">
        <v>3434</v>
      </c>
      <c r="E434" s="697" t="s">
        <v>3435</v>
      </c>
      <c r="F434" s="701">
        <v>2</v>
      </c>
      <c r="G434" s="701">
        <v>3330</v>
      </c>
      <c r="H434" s="701"/>
      <c r="I434" s="701">
        <v>1665</v>
      </c>
      <c r="J434" s="701"/>
      <c r="K434" s="701"/>
      <c r="L434" s="701"/>
      <c r="M434" s="701"/>
      <c r="N434" s="701">
        <v>1</v>
      </c>
      <c r="O434" s="701">
        <v>1665</v>
      </c>
      <c r="P434" s="723"/>
      <c r="Q434" s="702">
        <v>1665</v>
      </c>
    </row>
    <row r="435" spans="1:17" ht="14.4" customHeight="1" x14ac:dyDescent="0.3">
      <c r="A435" s="696" t="s">
        <v>505</v>
      </c>
      <c r="B435" s="697" t="s">
        <v>2707</v>
      </c>
      <c r="C435" s="697" t="s">
        <v>3294</v>
      </c>
      <c r="D435" s="697" t="s">
        <v>3436</v>
      </c>
      <c r="E435" s="697" t="s">
        <v>3437</v>
      </c>
      <c r="F435" s="701"/>
      <c r="G435" s="701"/>
      <c r="H435" s="701"/>
      <c r="I435" s="701"/>
      <c r="J435" s="701"/>
      <c r="K435" s="701"/>
      <c r="L435" s="701"/>
      <c r="M435" s="701"/>
      <c r="N435" s="701">
        <v>1</v>
      </c>
      <c r="O435" s="701">
        <v>2170.0300000000002</v>
      </c>
      <c r="P435" s="723"/>
      <c r="Q435" s="702">
        <v>2170.0300000000002</v>
      </c>
    </row>
    <row r="436" spans="1:17" ht="14.4" customHeight="1" x14ac:dyDescent="0.3">
      <c r="A436" s="696" t="s">
        <v>505</v>
      </c>
      <c r="B436" s="697" t="s">
        <v>2707</v>
      </c>
      <c r="C436" s="697" t="s">
        <v>3294</v>
      </c>
      <c r="D436" s="697" t="s">
        <v>3438</v>
      </c>
      <c r="E436" s="697" t="s">
        <v>3439</v>
      </c>
      <c r="F436" s="701">
        <v>5</v>
      </c>
      <c r="G436" s="701">
        <v>50621.2</v>
      </c>
      <c r="H436" s="701">
        <v>5.2083174714228395</v>
      </c>
      <c r="I436" s="701">
        <v>10124.24</v>
      </c>
      <c r="J436" s="701">
        <v>1</v>
      </c>
      <c r="K436" s="701">
        <v>9719.2999999999993</v>
      </c>
      <c r="L436" s="701">
        <v>1</v>
      </c>
      <c r="M436" s="701">
        <v>9719.2999999999993</v>
      </c>
      <c r="N436" s="701">
        <v>2</v>
      </c>
      <c r="O436" s="701">
        <v>17008.54</v>
      </c>
      <c r="P436" s="723">
        <v>1.7499758213040035</v>
      </c>
      <c r="Q436" s="702">
        <v>8504.27</v>
      </c>
    </row>
    <row r="437" spans="1:17" ht="14.4" customHeight="1" x14ac:dyDescent="0.3">
      <c r="A437" s="696" t="s">
        <v>505</v>
      </c>
      <c r="B437" s="697" t="s">
        <v>2707</v>
      </c>
      <c r="C437" s="697" t="s">
        <v>3294</v>
      </c>
      <c r="D437" s="697" t="s">
        <v>3440</v>
      </c>
      <c r="E437" s="697" t="s">
        <v>3441</v>
      </c>
      <c r="F437" s="701">
        <v>3</v>
      </c>
      <c r="G437" s="701">
        <v>19991.13</v>
      </c>
      <c r="H437" s="701"/>
      <c r="I437" s="701">
        <v>6663.71</v>
      </c>
      <c r="J437" s="701"/>
      <c r="K437" s="701"/>
      <c r="L437" s="701"/>
      <c r="M437" s="701"/>
      <c r="N437" s="701">
        <v>1</v>
      </c>
      <c r="O437" s="701">
        <v>6397.2</v>
      </c>
      <c r="P437" s="723"/>
      <c r="Q437" s="702">
        <v>6397.2</v>
      </c>
    </row>
    <row r="438" spans="1:17" ht="14.4" customHeight="1" x14ac:dyDescent="0.3">
      <c r="A438" s="696" t="s">
        <v>505</v>
      </c>
      <c r="B438" s="697" t="s">
        <v>2707</v>
      </c>
      <c r="C438" s="697" t="s">
        <v>3294</v>
      </c>
      <c r="D438" s="697" t="s">
        <v>3442</v>
      </c>
      <c r="E438" s="697" t="s">
        <v>3443</v>
      </c>
      <c r="F438" s="701"/>
      <c r="G438" s="701"/>
      <c r="H438" s="701"/>
      <c r="I438" s="701"/>
      <c r="J438" s="701">
        <v>1</v>
      </c>
      <c r="K438" s="701">
        <v>69228.990000000005</v>
      </c>
      <c r="L438" s="701">
        <v>1</v>
      </c>
      <c r="M438" s="701">
        <v>69228.990000000005</v>
      </c>
      <c r="N438" s="701"/>
      <c r="O438" s="701"/>
      <c r="P438" s="723"/>
      <c r="Q438" s="702"/>
    </row>
    <row r="439" spans="1:17" ht="14.4" customHeight="1" x14ac:dyDescent="0.3">
      <c r="A439" s="696" t="s">
        <v>505</v>
      </c>
      <c r="B439" s="697" t="s">
        <v>2707</v>
      </c>
      <c r="C439" s="697" t="s">
        <v>3294</v>
      </c>
      <c r="D439" s="697" t="s">
        <v>3444</v>
      </c>
      <c r="E439" s="697" t="s">
        <v>3445</v>
      </c>
      <c r="F439" s="701">
        <v>6</v>
      </c>
      <c r="G439" s="701">
        <v>10776</v>
      </c>
      <c r="H439" s="701"/>
      <c r="I439" s="701">
        <v>1796</v>
      </c>
      <c r="J439" s="701"/>
      <c r="K439" s="701"/>
      <c r="L439" s="701"/>
      <c r="M439" s="701"/>
      <c r="N439" s="701"/>
      <c r="O439" s="701"/>
      <c r="P439" s="723"/>
      <c r="Q439" s="702"/>
    </row>
    <row r="440" spans="1:17" ht="14.4" customHeight="1" x14ac:dyDescent="0.3">
      <c r="A440" s="696" t="s">
        <v>505</v>
      </c>
      <c r="B440" s="697" t="s">
        <v>2707</v>
      </c>
      <c r="C440" s="697" t="s">
        <v>3294</v>
      </c>
      <c r="D440" s="697" t="s">
        <v>3446</v>
      </c>
      <c r="E440" s="697" t="s">
        <v>3447</v>
      </c>
      <c r="F440" s="701">
        <v>6</v>
      </c>
      <c r="G440" s="701">
        <v>10776</v>
      </c>
      <c r="H440" s="701">
        <v>2</v>
      </c>
      <c r="I440" s="701">
        <v>1796</v>
      </c>
      <c r="J440" s="701">
        <v>3</v>
      </c>
      <c r="K440" s="701">
        <v>5388</v>
      </c>
      <c r="L440" s="701">
        <v>1</v>
      </c>
      <c r="M440" s="701">
        <v>1796</v>
      </c>
      <c r="N440" s="701"/>
      <c r="O440" s="701"/>
      <c r="P440" s="723"/>
      <c r="Q440" s="702"/>
    </row>
    <row r="441" spans="1:17" ht="14.4" customHeight="1" x14ac:dyDescent="0.3">
      <c r="A441" s="696" t="s">
        <v>505</v>
      </c>
      <c r="B441" s="697" t="s">
        <v>2707</v>
      </c>
      <c r="C441" s="697" t="s">
        <v>3294</v>
      </c>
      <c r="D441" s="697" t="s">
        <v>3448</v>
      </c>
      <c r="E441" s="697" t="s">
        <v>3449</v>
      </c>
      <c r="F441" s="701">
        <v>1</v>
      </c>
      <c r="G441" s="701">
        <v>1796</v>
      </c>
      <c r="H441" s="701"/>
      <c r="I441" s="701">
        <v>1796</v>
      </c>
      <c r="J441" s="701"/>
      <c r="K441" s="701"/>
      <c r="L441" s="701"/>
      <c r="M441" s="701"/>
      <c r="N441" s="701"/>
      <c r="O441" s="701"/>
      <c r="P441" s="723"/>
      <c r="Q441" s="702"/>
    </row>
    <row r="442" spans="1:17" ht="14.4" customHeight="1" x14ac:dyDescent="0.3">
      <c r="A442" s="696" t="s">
        <v>505</v>
      </c>
      <c r="B442" s="697" t="s">
        <v>2707</v>
      </c>
      <c r="C442" s="697" t="s">
        <v>3294</v>
      </c>
      <c r="D442" s="697" t="s">
        <v>3450</v>
      </c>
      <c r="E442" s="697" t="s">
        <v>3451</v>
      </c>
      <c r="F442" s="701">
        <v>7</v>
      </c>
      <c r="G442" s="701">
        <v>12572</v>
      </c>
      <c r="H442" s="701">
        <v>0.86419753086419748</v>
      </c>
      <c r="I442" s="701">
        <v>1796</v>
      </c>
      <c r="J442" s="701">
        <v>8.1</v>
      </c>
      <c r="K442" s="701">
        <v>14547.6</v>
      </c>
      <c r="L442" s="701">
        <v>1</v>
      </c>
      <c r="M442" s="701">
        <v>1796.0000000000002</v>
      </c>
      <c r="N442" s="701"/>
      <c r="O442" s="701"/>
      <c r="P442" s="723"/>
      <c r="Q442" s="702"/>
    </row>
    <row r="443" spans="1:17" ht="14.4" customHeight="1" x14ac:dyDescent="0.3">
      <c r="A443" s="696" t="s">
        <v>505</v>
      </c>
      <c r="B443" s="697" t="s">
        <v>2707</v>
      </c>
      <c r="C443" s="697" t="s">
        <v>3294</v>
      </c>
      <c r="D443" s="697" t="s">
        <v>3452</v>
      </c>
      <c r="E443" s="697" t="s">
        <v>3453</v>
      </c>
      <c r="F443" s="701">
        <v>5</v>
      </c>
      <c r="G443" s="701">
        <v>8980</v>
      </c>
      <c r="H443" s="701">
        <v>0.4065040650406504</v>
      </c>
      <c r="I443" s="701">
        <v>1796</v>
      </c>
      <c r="J443" s="701">
        <v>12.3</v>
      </c>
      <c r="K443" s="701">
        <v>22090.799999999999</v>
      </c>
      <c r="L443" s="701">
        <v>1</v>
      </c>
      <c r="M443" s="701">
        <v>1795.9999999999998</v>
      </c>
      <c r="N443" s="701"/>
      <c r="O443" s="701"/>
      <c r="P443" s="723"/>
      <c r="Q443" s="702"/>
    </row>
    <row r="444" spans="1:17" ht="14.4" customHeight="1" x14ac:dyDescent="0.3">
      <c r="A444" s="696" t="s">
        <v>505</v>
      </c>
      <c r="B444" s="697" t="s">
        <v>2707</v>
      </c>
      <c r="C444" s="697" t="s">
        <v>3294</v>
      </c>
      <c r="D444" s="697" t="s">
        <v>3454</v>
      </c>
      <c r="E444" s="697" t="s">
        <v>3455</v>
      </c>
      <c r="F444" s="701">
        <v>2</v>
      </c>
      <c r="G444" s="701">
        <v>3592</v>
      </c>
      <c r="H444" s="701"/>
      <c r="I444" s="701">
        <v>1796</v>
      </c>
      <c r="J444" s="701"/>
      <c r="K444" s="701"/>
      <c r="L444" s="701"/>
      <c r="M444" s="701"/>
      <c r="N444" s="701"/>
      <c r="O444" s="701"/>
      <c r="P444" s="723"/>
      <c r="Q444" s="702"/>
    </row>
    <row r="445" spans="1:17" ht="14.4" customHeight="1" x14ac:dyDescent="0.3">
      <c r="A445" s="696" t="s">
        <v>505</v>
      </c>
      <c r="B445" s="697" t="s">
        <v>2707</v>
      </c>
      <c r="C445" s="697" t="s">
        <v>3294</v>
      </c>
      <c r="D445" s="697" t="s">
        <v>3456</v>
      </c>
      <c r="E445" s="697" t="s">
        <v>3457</v>
      </c>
      <c r="F445" s="701">
        <v>2</v>
      </c>
      <c r="G445" s="701">
        <v>6720</v>
      </c>
      <c r="H445" s="701">
        <v>2</v>
      </c>
      <c r="I445" s="701">
        <v>3360</v>
      </c>
      <c r="J445" s="701">
        <v>1</v>
      </c>
      <c r="K445" s="701">
        <v>3360</v>
      </c>
      <c r="L445" s="701">
        <v>1</v>
      </c>
      <c r="M445" s="701">
        <v>3360</v>
      </c>
      <c r="N445" s="701"/>
      <c r="O445" s="701"/>
      <c r="P445" s="723"/>
      <c r="Q445" s="702"/>
    </row>
    <row r="446" spans="1:17" ht="14.4" customHeight="1" x14ac:dyDescent="0.3">
      <c r="A446" s="696" t="s">
        <v>505</v>
      </c>
      <c r="B446" s="697" t="s">
        <v>2707</v>
      </c>
      <c r="C446" s="697" t="s">
        <v>3294</v>
      </c>
      <c r="D446" s="697" t="s">
        <v>3458</v>
      </c>
      <c r="E446" s="697" t="s">
        <v>3459</v>
      </c>
      <c r="F446" s="701"/>
      <c r="G446" s="701"/>
      <c r="H446" s="701"/>
      <c r="I446" s="701"/>
      <c r="J446" s="701">
        <v>2</v>
      </c>
      <c r="K446" s="701">
        <v>4032</v>
      </c>
      <c r="L446" s="701">
        <v>1</v>
      </c>
      <c r="M446" s="701">
        <v>2016</v>
      </c>
      <c r="N446" s="701"/>
      <c r="O446" s="701"/>
      <c r="P446" s="723"/>
      <c r="Q446" s="702"/>
    </row>
    <row r="447" spans="1:17" ht="14.4" customHeight="1" x14ac:dyDescent="0.3">
      <c r="A447" s="696" t="s">
        <v>505</v>
      </c>
      <c r="B447" s="697" t="s">
        <v>2707</v>
      </c>
      <c r="C447" s="697" t="s">
        <v>3294</v>
      </c>
      <c r="D447" s="697" t="s">
        <v>3460</v>
      </c>
      <c r="E447" s="697" t="s">
        <v>3461</v>
      </c>
      <c r="F447" s="701">
        <v>1</v>
      </c>
      <c r="G447" s="701">
        <v>9403</v>
      </c>
      <c r="H447" s="701"/>
      <c r="I447" s="701">
        <v>9403</v>
      </c>
      <c r="J447" s="701"/>
      <c r="K447" s="701"/>
      <c r="L447" s="701"/>
      <c r="M447" s="701"/>
      <c r="N447" s="701"/>
      <c r="O447" s="701"/>
      <c r="P447" s="723"/>
      <c r="Q447" s="702"/>
    </row>
    <row r="448" spans="1:17" ht="14.4" customHeight="1" x14ac:dyDescent="0.3">
      <c r="A448" s="696" t="s">
        <v>505</v>
      </c>
      <c r="B448" s="697" t="s">
        <v>2707</v>
      </c>
      <c r="C448" s="697" t="s">
        <v>3294</v>
      </c>
      <c r="D448" s="697" t="s">
        <v>3462</v>
      </c>
      <c r="E448" s="697" t="s">
        <v>3463</v>
      </c>
      <c r="F448" s="701">
        <v>1</v>
      </c>
      <c r="G448" s="701">
        <v>12019.2</v>
      </c>
      <c r="H448" s="701"/>
      <c r="I448" s="701">
        <v>12019.2</v>
      </c>
      <c r="J448" s="701"/>
      <c r="K448" s="701"/>
      <c r="L448" s="701"/>
      <c r="M448" s="701"/>
      <c r="N448" s="701"/>
      <c r="O448" s="701"/>
      <c r="P448" s="723"/>
      <c r="Q448" s="702"/>
    </row>
    <row r="449" spans="1:17" ht="14.4" customHeight="1" x14ac:dyDescent="0.3">
      <c r="A449" s="696" t="s">
        <v>505</v>
      </c>
      <c r="B449" s="697" t="s">
        <v>2707</v>
      </c>
      <c r="C449" s="697" t="s">
        <v>3294</v>
      </c>
      <c r="D449" s="697" t="s">
        <v>3464</v>
      </c>
      <c r="E449" s="697" t="s">
        <v>3465</v>
      </c>
      <c r="F449" s="701"/>
      <c r="G449" s="701"/>
      <c r="H449" s="701"/>
      <c r="I449" s="701"/>
      <c r="J449" s="701">
        <v>1</v>
      </c>
      <c r="K449" s="701">
        <v>3501.87</v>
      </c>
      <c r="L449" s="701">
        <v>1</v>
      </c>
      <c r="M449" s="701">
        <v>3501.87</v>
      </c>
      <c r="N449" s="701"/>
      <c r="O449" s="701"/>
      <c r="P449" s="723"/>
      <c r="Q449" s="702"/>
    </row>
    <row r="450" spans="1:17" ht="14.4" customHeight="1" x14ac:dyDescent="0.3">
      <c r="A450" s="696" t="s">
        <v>505</v>
      </c>
      <c r="B450" s="697" t="s">
        <v>2707</v>
      </c>
      <c r="C450" s="697" t="s">
        <v>3294</v>
      </c>
      <c r="D450" s="697" t="s">
        <v>3466</v>
      </c>
      <c r="E450" s="697" t="s">
        <v>3467</v>
      </c>
      <c r="F450" s="701">
        <v>2</v>
      </c>
      <c r="G450" s="701">
        <v>2793</v>
      </c>
      <c r="H450" s="701"/>
      <c r="I450" s="701">
        <v>1396.5</v>
      </c>
      <c r="J450" s="701"/>
      <c r="K450" s="701"/>
      <c r="L450" s="701"/>
      <c r="M450" s="701"/>
      <c r="N450" s="701"/>
      <c r="O450" s="701"/>
      <c r="P450" s="723"/>
      <c r="Q450" s="702"/>
    </row>
    <row r="451" spans="1:17" ht="14.4" customHeight="1" x14ac:dyDescent="0.3">
      <c r="A451" s="696" t="s">
        <v>505</v>
      </c>
      <c r="B451" s="697" t="s">
        <v>2707</v>
      </c>
      <c r="C451" s="697" t="s">
        <v>3294</v>
      </c>
      <c r="D451" s="697" t="s">
        <v>3468</v>
      </c>
      <c r="E451" s="697" t="s">
        <v>3469</v>
      </c>
      <c r="F451" s="701">
        <v>3</v>
      </c>
      <c r="G451" s="701">
        <v>1085.07</v>
      </c>
      <c r="H451" s="701">
        <v>1.5</v>
      </c>
      <c r="I451" s="701">
        <v>361.69</v>
      </c>
      <c r="J451" s="701">
        <v>2</v>
      </c>
      <c r="K451" s="701">
        <v>723.38</v>
      </c>
      <c r="L451" s="701">
        <v>1</v>
      </c>
      <c r="M451" s="701">
        <v>361.69</v>
      </c>
      <c r="N451" s="701">
        <v>4</v>
      </c>
      <c r="O451" s="701">
        <v>1446.76</v>
      </c>
      <c r="P451" s="723">
        <v>2</v>
      </c>
      <c r="Q451" s="702">
        <v>361.69</v>
      </c>
    </row>
    <row r="452" spans="1:17" ht="14.4" customHeight="1" x14ac:dyDescent="0.3">
      <c r="A452" s="696" t="s">
        <v>505</v>
      </c>
      <c r="B452" s="697" t="s">
        <v>2707</v>
      </c>
      <c r="C452" s="697" t="s">
        <v>3294</v>
      </c>
      <c r="D452" s="697" t="s">
        <v>3470</v>
      </c>
      <c r="E452" s="697" t="s">
        <v>3471</v>
      </c>
      <c r="F452" s="701">
        <v>1</v>
      </c>
      <c r="G452" s="701">
        <v>4618</v>
      </c>
      <c r="H452" s="701"/>
      <c r="I452" s="701">
        <v>4618</v>
      </c>
      <c r="J452" s="701"/>
      <c r="K452" s="701"/>
      <c r="L452" s="701"/>
      <c r="M452" s="701"/>
      <c r="N452" s="701">
        <v>1</v>
      </c>
      <c r="O452" s="701">
        <v>4618</v>
      </c>
      <c r="P452" s="723"/>
      <c r="Q452" s="702">
        <v>4618</v>
      </c>
    </row>
    <row r="453" spans="1:17" ht="14.4" customHeight="1" x14ac:dyDescent="0.3">
      <c r="A453" s="696" t="s">
        <v>505</v>
      </c>
      <c r="B453" s="697" t="s">
        <v>2707</v>
      </c>
      <c r="C453" s="697" t="s">
        <v>3294</v>
      </c>
      <c r="D453" s="697" t="s">
        <v>3472</v>
      </c>
      <c r="E453" s="697" t="s">
        <v>3473</v>
      </c>
      <c r="F453" s="701"/>
      <c r="G453" s="701"/>
      <c r="H453" s="701"/>
      <c r="I453" s="701"/>
      <c r="J453" s="701">
        <v>1</v>
      </c>
      <c r="K453" s="701">
        <v>4676</v>
      </c>
      <c r="L453" s="701">
        <v>1</v>
      </c>
      <c r="M453" s="701">
        <v>4676</v>
      </c>
      <c r="N453" s="701"/>
      <c r="O453" s="701"/>
      <c r="P453" s="723"/>
      <c r="Q453" s="702"/>
    </row>
    <row r="454" spans="1:17" ht="14.4" customHeight="1" x14ac:dyDescent="0.3">
      <c r="A454" s="696" t="s">
        <v>505</v>
      </c>
      <c r="B454" s="697" t="s">
        <v>2707</v>
      </c>
      <c r="C454" s="697" t="s">
        <v>3294</v>
      </c>
      <c r="D454" s="697" t="s">
        <v>3474</v>
      </c>
      <c r="E454" s="697" t="s">
        <v>3473</v>
      </c>
      <c r="F454" s="701"/>
      <c r="G454" s="701"/>
      <c r="H454" s="701"/>
      <c r="I454" s="701"/>
      <c r="J454" s="701">
        <v>1</v>
      </c>
      <c r="K454" s="701">
        <v>6376</v>
      </c>
      <c r="L454" s="701">
        <v>1</v>
      </c>
      <c r="M454" s="701">
        <v>6376</v>
      </c>
      <c r="N454" s="701"/>
      <c r="O454" s="701"/>
      <c r="P454" s="723"/>
      <c r="Q454" s="702"/>
    </row>
    <row r="455" spans="1:17" ht="14.4" customHeight="1" x14ac:dyDescent="0.3">
      <c r="A455" s="696" t="s">
        <v>505</v>
      </c>
      <c r="B455" s="697" t="s">
        <v>2707</v>
      </c>
      <c r="C455" s="697" t="s">
        <v>3294</v>
      </c>
      <c r="D455" s="697" t="s">
        <v>3475</v>
      </c>
      <c r="E455" s="697" t="s">
        <v>3476</v>
      </c>
      <c r="F455" s="701"/>
      <c r="G455" s="701"/>
      <c r="H455" s="701"/>
      <c r="I455" s="701"/>
      <c r="J455" s="701">
        <v>10</v>
      </c>
      <c r="K455" s="701">
        <v>5920</v>
      </c>
      <c r="L455" s="701">
        <v>1</v>
      </c>
      <c r="M455" s="701">
        <v>592</v>
      </c>
      <c r="N455" s="701"/>
      <c r="O455" s="701"/>
      <c r="P455" s="723"/>
      <c r="Q455" s="702"/>
    </row>
    <row r="456" spans="1:17" ht="14.4" customHeight="1" x14ac:dyDescent="0.3">
      <c r="A456" s="696" t="s">
        <v>505</v>
      </c>
      <c r="B456" s="697" t="s">
        <v>2707</v>
      </c>
      <c r="C456" s="697" t="s">
        <v>3294</v>
      </c>
      <c r="D456" s="697" t="s">
        <v>3477</v>
      </c>
      <c r="E456" s="697" t="s">
        <v>3478</v>
      </c>
      <c r="F456" s="701">
        <v>1</v>
      </c>
      <c r="G456" s="701">
        <v>13091</v>
      </c>
      <c r="H456" s="701"/>
      <c r="I456" s="701">
        <v>13091</v>
      </c>
      <c r="J456" s="701"/>
      <c r="K456" s="701"/>
      <c r="L456" s="701"/>
      <c r="M456" s="701"/>
      <c r="N456" s="701"/>
      <c r="O456" s="701"/>
      <c r="P456" s="723"/>
      <c r="Q456" s="702"/>
    </row>
    <row r="457" spans="1:17" ht="14.4" customHeight="1" x14ac:dyDescent="0.3">
      <c r="A457" s="696" t="s">
        <v>505</v>
      </c>
      <c r="B457" s="697" t="s">
        <v>2707</v>
      </c>
      <c r="C457" s="697" t="s">
        <v>3294</v>
      </c>
      <c r="D457" s="697" t="s">
        <v>3479</v>
      </c>
      <c r="E457" s="697" t="s">
        <v>3480</v>
      </c>
      <c r="F457" s="701">
        <v>1</v>
      </c>
      <c r="G457" s="701">
        <v>5918.67</v>
      </c>
      <c r="H457" s="701"/>
      <c r="I457" s="701">
        <v>5918.67</v>
      </c>
      <c r="J457" s="701"/>
      <c r="K457" s="701"/>
      <c r="L457" s="701"/>
      <c r="M457" s="701"/>
      <c r="N457" s="701"/>
      <c r="O457" s="701"/>
      <c r="P457" s="723"/>
      <c r="Q457" s="702"/>
    </row>
    <row r="458" spans="1:17" ht="14.4" customHeight="1" x14ac:dyDescent="0.3">
      <c r="A458" s="696" t="s">
        <v>505</v>
      </c>
      <c r="B458" s="697" t="s">
        <v>2707</v>
      </c>
      <c r="C458" s="697" t="s">
        <v>3294</v>
      </c>
      <c r="D458" s="697" t="s">
        <v>3481</v>
      </c>
      <c r="E458" s="697" t="s">
        <v>3480</v>
      </c>
      <c r="F458" s="701">
        <v>4</v>
      </c>
      <c r="G458" s="701">
        <v>11549.24</v>
      </c>
      <c r="H458" s="701"/>
      <c r="I458" s="701">
        <v>2887.31</v>
      </c>
      <c r="J458" s="701"/>
      <c r="K458" s="701"/>
      <c r="L458" s="701"/>
      <c r="M458" s="701"/>
      <c r="N458" s="701"/>
      <c r="O458" s="701"/>
      <c r="P458" s="723"/>
      <c r="Q458" s="702"/>
    </row>
    <row r="459" spans="1:17" ht="14.4" customHeight="1" x14ac:dyDescent="0.3">
      <c r="A459" s="696" t="s">
        <v>505</v>
      </c>
      <c r="B459" s="697" t="s">
        <v>2707</v>
      </c>
      <c r="C459" s="697" t="s">
        <v>3294</v>
      </c>
      <c r="D459" s="697" t="s">
        <v>3482</v>
      </c>
      <c r="E459" s="697" t="s">
        <v>3483</v>
      </c>
      <c r="F459" s="701">
        <v>4</v>
      </c>
      <c r="G459" s="701">
        <v>32532</v>
      </c>
      <c r="H459" s="701"/>
      <c r="I459" s="701">
        <v>8133</v>
      </c>
      <c r="J459" s="701"/>
      <c r="K459" s="701"/>
      <c r="L459" s="701"/>
      <c r="M459" s="701"/>
      <c r="N459" s="701"/>
      <c r="O459" s="701"/>
      <c r="P459" s="723"/>
      <c r="Q459" s="702"/>
    </row>
    <row r="460" spans="1:17" ht="14.4" customHeight="1" x14ac:dyDescent="0.3">
      <c r="A460" s="696" t="s">
        <v>505</v>
      </c>
      <c r="B460" s="697" t="s">
        <v>2707</v>
      </c>
      <c r="C460" s="697" t="s">
        <v>3294</v>
      </c>
      <c r="D460" s="697" t="s">
        <v>3484</v>
      </c>
      <c r="E460" s="697" t="s">
        <v>3483</v>
      </c>
      <c r="F460" s="701">
        <v>2</v>
      </c>
      <c r="G460" s="701">
        <v>11498</v>
      </c>
      <c r="H460" s="701"/>
      <c r="I460" s="701">
        <v>5749</v>
      </c>
      <c r="J460" s="701"/>
      <c r="K460" s="701"/>
      <c r="L460" s="701"/>
      <c r="M460" s="701"/>
      <c r="N460" s="701"/>
      <c r="O460" s="701"/>
      <c r="P460" s="723"/>
      <c r="Q460" s="702"/>
    </row>
    <row r="461" spans="1:17" ht="14.4" customHeight="1" x14ac:dyDescent="0.3">
      <c r="A461" s="696" t="s">
        <v>505</v>
      </c>
      <c r="B461" s="697" t="s">
        <v>2707</v>
      </c>
      <c r="C461" s="697" t="s">
        <v>3294</v>
      </c>
      <c r="D461" s="697" t="s">
        <v>3485</v>
      </c>
      <c r="E461" s="697" t="s">
        <v>3486</v>
      </c>
      <c r="F461" s="701">
        <v>4</v>
      </c>
      <c r="G461" s="701">
        <v>10888</v>
      </c>
      <c r="H461" s="701"/>
      <c r="I461" s="701">
        <v>2722</v>
      </c>
      <c r="J461" s="701"/>
      <c r="K461" s="701"/>
      <c r="L461" s="701"/>
      <c r="M461" s="701"/>
      <c r="N461" s="701"/>
      <c r="O461" s="701"/>
      <c r="P461" s="723"/>
      <c r="Q461" s="702"/>
    </row>
    <row r="462" spans="1:17" ht="14.4" customHeight="1" x14ac:dyDescent="0.3">
      <c r="A462" s="696" t="s">
        <v>505</v>
      </c>
      <c r="B462" s="697" t="s">
        <v>2707</v>
      </c>
      <c r="C462" s="697" t="s">
        <v>3294</v>
      </c>
      <c r="D462" s="697" t="s">
        <v>3487</v>
      </c>
      <c r="E462" s="697" t="s">
        <v>3488</v>
      </c>
      <c r="F462" s="701">
        <v>2</v>
      </c>
      <c r="G462" s="701">
        <v>1113</v>
      </c>
      <c r="H462" s="701">
        <v>0.25</v>
      </c>
      <c r="I462" s="701">
        <v>556.5</v>
      </c>
      <c r="J462" s="701">
        <v>8</v>
      </c>
      <c r="K462" s="701">
        <v>4452</v>
      </c>
      <c r="L462" s="701">
        <v>1</v>
      </c>
      <c r="M462" s="701">
        <v>556.5</v>
      </c>
      <c r="N462" s="701">
        <v>14</v>
      </c>
      <c r="O462" s="701">
        <v>7791</v>
      </c>
      <c r="P462" s="723">
        <v>1.75</v>
      </c>
      <c r="Q462" s="702">
        <v>556.5</v>
      </c>
    </row>
    <row r="463" spans="1:17" ht="14.4" customHeight="1" x14ac:dyDescent="0.3">
      <c r="A463" s="696" t="s">
        <v>505</v>
      </c>
      <c r="B463" s="697" t="s">
        <v>2707</v>
      </c>
      <c r="C463" s="697" t="s">
        <v>3294</v>
      </c>
      <c r="D463" s="697" t="s">
        <v>3487</v>
      </c>
      <c r="E463" s="697" t="s">
        <v>3489</v>
      </c>
      <c r="F463" s="701">
        <v>22</v>
      </c>
      <c r="G463" s="701">
        <v>12243</v>
      </c>
      <c r="H463" s="701">
        <v>1.2222222222222223</v>
      </c>
      <c r="I463" s="701">
        <v>556.5</v>
      </c>
      <c r="J463" s="701">
        <v>18</v>
      </c>
      <c r="K463" s="701">
        <v>10017</v>
      </c>
      <c r="L463" s="701">
        <v>1</v>
      </c>
      <c r="M463" s="701">
        <v>556.5</v>
      </c>
      <c r="N463" s="701">
        <v>13</v>
      </c>
      <c r="O463" s="701">
        <v>7234.5</v>
      </c>
      <c r="P463" s="723">
        <v>0.72222222222222221</v>
      </c>
      <c r="Q463" s="702">
        <v>556.5</v>
      </c>
    </row>
    <row r="464" spans="1:17" ht="14.4" customHeight="1" x14ac:dyDescent="0.3">
      <c r="A464" s="696" t="s">
        <v>505</v>
      </c>
      <c r="B464" s="697" t="s">
        <v>2707</v>
      </c>
      <c r="C464" s="697" t="s">
        <v>3294</v>
      </c>
      <c r="D464" s="697" t="s">
        <v>3490</v>
      </c>
      <c r="E464" s="697" t="s">
        <v>3491</v>
      </c>
      <c r="F464" s="701">
        <v>3</v>
      </c>
      <c r="G464" s="701">
        <v>2556.9299999999998</v>
      </c>
      <c r="H464" s="701"/>
      <c r="I464" s="701">
        <v>852.31</v>
      </c>
      <c r="J464" s="701"/>
      <c r="K464" s="701"/>
      <c r="L464" s="701"/>
      <c r="M464" s="701"/>
      <c r="N464" s="701"/>
      <c r="O464" s="701"/>
      <c r="P464" s="723"/>
      <c r="Q464" s="702"/>
    </row>
    <row r="465" spans="1:17" ht="14.4" customHeight="1" x14ac:dyDescent="0.3">
      <c r="A465" s="696" t="s">
        <v>505</v>
      </c>
      <c r="B465" s="697" t="s">
        <v>2707</v>
      </c>
      <c r="C465" s="697" t="s">
        <v>3294</v>
      </c>
      <c r="D465" s="697" t="s">
        <v>3492</v>
      </c>
      <c r="E465" s="697" t="s">
        <v>3493</v>
      </c>
      <c r="F465" s="701">
        <v>2</v>
      </c>
      <c r="G465" s="701">
        <v>9470.7000000000007</v>
      </c>
      <c r="H465" s="701"/>
      <c r="I465" s="701">
        <v>4735.3500000000004</v>
      </c>
      <c r="J465" s="701"/>
      <c r="K465" s="701"/>
      <c r="L465" s="701"/>
      <c r="M465" s="701"/>
      <c r="N465" s="701"/>
      <c r="O465" s="701"/>
      <c r="P465" s="723"/>
      <c r="Q465" s="702"/>
    </row>
    <row r="466" spans="1:17" ht="14.4" customHeight="1" x14ac:dyDescent="0.3">
      <c r="A466" s="696" t="s">
        <v>505</v>
      </c>
      <c r="B466" s="697" t="s">
        <v>2707</v>
      </c>
      <c r="C466" s="697" t="s">
        <v>3294</v>
      </c>
      <c r="D466" s="697" t="s">
        <v>3494</v>
      </c>
      <c r="E466" s="697" t="s">
        <v>3495</v>
      </c>
      <c r="F466" s="701">
        <v>2</v>
      </c>
      <c r="G466" s="701">
        <v>15986.32</v>
      </c>
      <c r="H466" s="701"/>
      <c r="I466" s="701">
        <v>7993.16</v>
      </c>
      <c r="J466" s="701"/>
      <c r="K466" s="701"/>
      <c r="L466" s="701"/>
      <c r="M466" s="701"/>
      <c r="N466" s="701"/>
      <c r="O466" s="701"/>
      <c r="P466" s="723"/>
      <c r="Q466" s="702"/>
    </row>
    <row r="467" spans="1:17" ht="14.4" customHeight="1" x14ac:dyDescent="0.3">
      <c r="A467" s="696" t="s">
        <v>505</v>
      </c>
      <c r="B467" s="697" t="s">
        <v>2707</v>
      </c>
      <c r="C467" s="697" t="s">
        <v>3294</v>
      </c>
      <c r="D467" s="697" t="s">
        <v>3496</v>
      </c>
      <c r="E467" s="697" t="s">
        <v>3497</v>
      </c>
      <c r="F467" s="701">
        <v>2</v>
      </c>
      <c r="G467" s="701">
        <v>5732.54</v>
      </c>
      <c r="H467" s="701"/>
      <c r="I467" s="701">
        <v>2866.27</v>
      </c>
      <c r="J467" s="701"/>
      <c r="K467" s="701"/>
      <c r="L467" s="701"/>
      <c r="M467" s="701"/>
      <c r="N467" s="701"/>
      <c r="O467" s="701"/>
      <c r="P467" s="723"/>
      <c r="Q467" s="702"/>
    </row>
    <row r="468" spans="1:17" ht="14.4" customHeight="1" x14ac:dyDescent="0.3">
      <c r="A468" s="696" t="s">
        <v>505</v>
      </c>
      <c r="B468" s="697" t="s">
        <v>2707</v>
      </c>
      <c r="C468" s="697" t="s">
        <v>3294</v>
      </c>
      <c r="D468" s="697" t="s">
        <v>3498</v>
      </c>
      <c r="E468" s="697" t="s">
        <v>3499</v>
      </c>
      <c r="F468" s="701">
        <v>0.1</v>
      </c>
      <c r="G468" s="701">
        <v>177.31</v>
      </c>
      <c r="H468" s="701"/>
      <c r="I468" s="701">
        <v>1773.1</v>
      </c>
      <c r="J468" s="701"/>
      <c r="K468" s="701"/>
      <c r="L468" s="701"/>
      <c r="M468" s="701"/>
      <c r="N468" s="701"/>
      <c r="O468" s="701"/>
      <c r="P468" s="723"/>
      <c r="Q468" s="702"/>
    </row>
    <row r="469" spans="1:17" ht="14.4" customHeight="1" x14ac:dyDescent="0.3">
      <c r="A469" s="696" t="s">
        <v>505</v>
      </c>
      <c r="B469" s="697" t="s">
        <v>2707</v>
      </c>
      <c r="C469" s="697" t="s">
        <v>3294</v>
      </c>
      <c r="D469" s="697" t="s">
        <v>3500</v>
      </c>
      <c r="E469" s="697" t="s">
        <v>3501</v>
      </c>
      <c r="F469" s="701">
        <v>6.6000000000000005</v>
      </c>
      <c r="G469" s="701">
        <v>1663.37</v>
      </c>
      <c r="H469" s="701">
        <v>2.7500991997883735</v>
      </c>
      <c r="I469" s="701">
        <v>252.02575757575755</v>
      </c>
      <c r="J469" s="701">
        <v>2.4000000000000004</v>
      </c>
      <c r="K469" s="701">
        <v>604.84</v>
      </c>
      <c r="L469" s="701">
        <v>1</v>
      </c>
      <c r="M469" s="701">
        <v>252.01666666666665</v>
      </c>
      <c r="N469" s="701">
        <v>1.8</v>
      </c>
      <c r="O469" s="701">
        <v>453.65</v>
      </c>
      <c r="P469" s="723">
        <v>0.75003306659612456</v>
      </c>
      <c r="Q469" s="702">
        <v>252.02777777777777</v>
      </c>
    </row>
    <row r="470" spans="1:17" ht="14.4" customHeight="1" x14ac:dyDescent="0.3">
      <c r="A470" s="696" t="s">
        <v>505</v>
      </c>
      <c r="B470" s="697" t="s">
        <v>2707</v>
      </c>
      <c r="C470" s="697" t="s">
        <v>3294</v>
      </c>
      <c r="D470" s="697" t="s">
        <v>3502</v>
      </c>
      <c r="E470" s="697" t="s">
        <v>3503</v>
      </c>
      <c r="F470" s="701"/>
      <c r="G470" s="701"/>
      <c r="H470" s="701"/>
      <c r="I470" s="701"/>
      <c r="J470" s="701">
        <v>2</v>
      </c>
      <c r="K470" s="701">
        <v>1123.42</v>
      </c>
      <c r="L470" s="701">
        <v>1</v>
      </c>
      <c r="M470" s="701">
        <v>561.71</v>
      </c>
      <c r="N470" s="701"/>
      <c r="O470" s="701"/>
      <c r="P470" s="723"/>
      <c r="Q470" s="702"/>
    </row>
    <row r="471" spans="1:17" ht="14.4" customHeight="1" x14ac:dyDescent="0.3">
      <c r="A471" s="696" t="s">
        <v>505</v>
      </c>
      <c r="B471" s="697" t="s">
        <v>2707</v>
      </c>
      <c r="C471" s="697" t="s">
        <v>3294</v>
      </c>
      <c r="D471" s="697" t="s">
        <v>3504</v>
      </c>
      <c r="E471" s="697" t="s">
        <v>3501</v>
      </c>
      <c r="F471" s="701">
        <v>39</v>
      </c>
      <c r="G471" s="701">
        <v>21340.799999999999</v>
      </c>
      <c r="H471" s="701"/>
      <c r="I471" s="701">
        <v>547.19999999999993</v>
      </c>
      <c r="J471" s="701"/>
      <c r="K471" s="701"/>
      <c r="L471" s="701"/>
      <c r="M471" s="701"/>
      <c r="N471" s="701"/>
      <c r="O471" s="701"/>
      <c r="P471" s="723"/>
      <c r="Q471" s="702"/>
    </row>
    <row r="472" spans="1:17" ht="14.4" customHeight="1" x14ac:dyDescent="0.3">
      <c r="A472" s="696" t="s">
        <v>505</v>
      </c>
      <c r="B472" s="697" t="s">
        <v>2707</v>
      </c>
      <c r="C472" s="697" t="s">
        <v>3294</v>
      </c>
      <c r="D472" s="697" t="s">
        <v>3505</v>
      </c>
      <c r="E472" s="697" t="s">
        <v>3501</v>
      </c>
      <c r="F472" s="701">
        <v>72</v>
      </c>
      <c r="G472" s="701">
        <v>133118.64000000001</v>
      </c>
      <c r="H472" s="701">
        <v>3.6</v>
      </c>
      <c r="I472" s="701">
        <v>1848.8700000000001</v>
      </c>
      <c r="J472" s="701">
        <v>20</v>
      </c>
      <c r="K472" s="701">
        <v>36977.4</v>
      </c>
      <c r="L472" s="701">
        <v>1</v>
      </c>
      <c r="M472" s="701">
        <v>1848.8700000000001</v>
      </c>
      <c r="N472" s="701">
        <v>21</v>
      </c>
      <c r="O472" s="701">
        <v>37750.75</v>
      </c>
      <c r="P472" s="723">
        <v>1.0209141259255654</v>
      </c>
      <c r="Q472" s="702">
        <v>1797.6547619047619</v>
      </c>
    </row>
    <row r="473" spans="1:17" ht="14.4" customHeight="1" x14ac:dyDescent="0.3">
      <c r="A473" s="696" t="s">
        <v>505</v>
      </c>
      <c r="B473" s="697" t="s">
        <v>2707</v>
      </c>
      <c r="C473" s="697" t="s">
        <v>3294</v>
      </c>
      <c r="D473" s="697" t="s">
        <v>3506</v>
      </c>
      <c r="E473" s="697" t="s">
        <v>3507</v>
      </c>
      <c r="F473" s="701"/>
      <c r="G473" s="701"/>
      <c r="H473" s="701"/>
      <c r="I473" s="701"/>
      <c r="J473" s="701"/>
      <c r="K473" s="701"/>
      <c r="L473" s="701"/>
      <c r="M473" s="701"/>
      <c r="N473" s="701">
        <v>2</v>
      </c>
      <c r="O473" s="701">
        <v>3898.24</v>
      </c>
      <c r="P473" s="723"/>
      <c r="Q473" s="702">
        <v>1949.12</v>
      </c>
    </row>
    <row r="474" spans="1:17" ht="14.4" customHeight="1" x14ac:dyDescent="0.3">
      <c r="A474" s="696" t="s">
        <v>505</v>
      </c>
      <c r="B474" s="697" t="s">
        <v>2707</v>
      </c>
      <c r="C474" s="697" t="s">
        <v>3294</v>
      </c>
      <c r="D474" s="697" t="s">
        <v>3508</v>
      </c>
      <c r="E474" s="697" t="s">
        <v>3509</v>
      </c>
      <c r="F474" s="701">
        <v>5</v>
      </c>
      <c r="G474" s="701">
        <v>7563.4000000000005</v>
      </c>
      <c r="H474" s="701">
        <v>1.6666666666666667</v>
      </c>
      <c r="I474" s="701">
        <v>1512.68</v>
      </c>
      <c r="J474" s="701">
        <v>3</v>
      </c>
      <c r="K474" s="701">
        <v>4538.04</v>
      </c>
      <c r="L474" s="701">
        <v>1</v>
      </c>
      <c r="M474" s="701">
        <v>1512.68</v>
      </c>
      <c r="N474" s="701">
        <v>1</v>
      </c>
      <c r="O474" s="701">
        <v>1363.11</v>
      </c>
      <c r="P474" s="723">
        <v>0.30037417034666947</v>
      </c>
      <c r="Q474" s="702">
        <v>1363.11</v>
      </c>
    </row>
    <row r="475" spans="1:17" ht="14.4" customHeight="1" x14ac:dyDescent="0.3">
      <c r="A475" s="696" t="s">
        <v>505</v>
      </c>
      <c r="B475" s="697" t="s">
        <v>2707</v>
      </c>
      <c r="C475" s="697" t="s">
        <v>3294</v>
      </c>
      <c r="D475" s="697" t="s">
        <v>3510</v>
      </c>
      <c r="E475" s="697" t="s">
        <v>3509</v>
      </c>
      <c r="F475" s="701"/>
      <c r="G475" s="701"/>
      <c r="H475" s="701"/>
      <c r="I475" s="701"/>
      <c r="J475" s="701"/>
      <c r="K475" s="701"/>
      <c r="L475" s="701"/>
      <c r="M475" s="701"/>
      <c r="N475" s="701">
        <v>2</v>
      </c>
      <c r="O475" s="701">
        <v>3883.2</v>
      </c>
      <c r="P475" s="723"/>
      <c r="Q475" s="702">
        <v>1941.6</v>
      </c>
    </row>
    <row r="476" spans="1:17" ht="14.4" customHeight="1" x14ac:dyDescent="0.3">
      <c r="A476" s="696" t="s">
        <v>505</v>
      </c>
      <c r="B476" s="697" t="s">
        <v>2707</v>
      </c>
      <c r="C476" s="697" t="s">
        <v>3294</v>
      </c>
      <c r="D476" s="697" t="s">
        <v>3511</v>
      </c>
      <c r="E476" s="697" t="s">
        <v>3512</v>
      </c>
      <c r="F476" s="701">
        <v>1</v>
      </c>
      <c r="G476" s="701">
        <v>22843.53</v>
      </c>
      <c r="H476" s="701">
        <v>1</v>
      </c>
      <c r="I476" s="701">
        <v>22843.53</v>
      </c>
      <c r="J476" s="701">
        <v>1</v>
      </c>
      <c r="K476" s="701">
        <v>22843.53</v>
      </c>
      <c r="L476" s="701">
        <v>1</v>
      </c>
      <c r="M476" s="701">
        <v>22843.53</v>
      </c>
      <c r="N476" s="701">
        <v>1</v>
      </c>
      <c r="O476" s="701">
        <v>19782.2</v>
      </c>
      <c r="P476" s="723">
        <v>0.86598699938231971</v>
      </c>
      <c r="Q476" s="702">
        <v>19782.2</v>
      </c>
    </row>
    <row r="477" spans="1:17" ht="14.4" customHeight="1" x14ac:dyDescent="0.3">
      <c r="A477" s="696" t="s">
        <v>505</v>
      </c>
      <c r="B477" s="697" t="s">
        <v>2707</v>
      </c>
      <c r="C477" s="697" t="s">
        <v>3294</v>
      </c>
      <c r="D477" s="697" t="s">
        <v>3513</v>
      </c>
      <c r="E477" s="697" t="s">
        <v>3514</v>
      </c>
      <c r="F477" s="701">
        <v>2</v>
      </c>
      <c r="G477" s="701">
        <v>16982.919999999998</v>
      </c>
      <c r="H477" s="701">
        <v>1</v>
      </c>
      <c r="I477" s="701">
        <v>8491.4599999999991</v>
      </c>
      <c r="J477" s="701">
        <v>2</v>
      </c>
      <c r="K477" s="701">
        <v>16982.919999999998</v>
      </c>
      <c r="L477" s="701">
        <v>1</v>
      </c>
      <c r="M477" s="701">
        <v>8491.4599999999991</v>
      </c>
      <c r="N477" s="701">
        <v>1</v>
      </c>
      <c r="O477" s="701">
        <v>8491.4599999999991</v>
      </c>
      <c r="P477" s="723">
        <v>0.5</v>
      </c>
      <c r="Q477" s="702">
        <v>8491.4599999999991</v>
      </c>
    </row>
    <row r="478" spans="1:17" ht="14.4" customHeight="1" x14ac:dyDescent="0.3">
      <c r="A478" s="696" t="s">
        <v>505</v>
      </c>
      <c r="B478" s="697" t="s">
        <v>2707</v>
      </c>
      <c r="C478" s="697" t="s">
        <v>3294</v>
      </c>
      <c r="D478" s="697" t="s">
        <v>3515</v>
      </c>
      <c r="E478" s="697" t="s">
        <v>3516</v>
      </c>
      <c r="F478" s="701">
        <v>9</v>
      </c>
      <c r="G478" s="701">
        <v>26993.159999999996</v>
      </c>
      <c r="H478" s="701">
        <v>1.125</v>
      </c>
      <c r="I478" s="701">
        <v>2999.24</v>
      </c>
      <c r="J478" s="701">
        <v>8</v>
      </c>
      <c r="K478" s="701">
        <v>23993.919999999998</v>
      </c>
      <c r="L478" s="701">
        <v>1</v>
      </c>
      <c r="M478" s="701">
        <v>2999.24</v>
      </c>
      <c r="N478" s="701">
        <v>6</v>
      </c>
      <c r="O478" s="701">
        <v>17995.439999999999</v>
      </c>
      <c r="P478" s="723">
        <v>0.75</v>
      </c>
      <c r="Q478" s="702">
        <v>2999.24</v>
      </c>
    </row>
    <row r="479" spans="1:17" ht="14.4" customHeight="1" x14ac:dyDescent="0.3">
      <c r="A479" s="696" t="s">
        <v>505</v>
      </c>
      <c r="B479" s="697" t="s">
        <v>2707</v>
      </c>
      <c r="C479" s="697" t="s">
        <v>3294</v>
      </c>
      <c r="D479" s="697" t="s">
        <v>3517</v>
      </c>
      <c r="E479" s="697" t="s">
        <v>3518</v>
      </c>
      <c r="F479" s="701"/>
      <c r="G479" s="701"/>
      <c r="H479" s="701"/>
      <c r="I479" s="701"/>
      <c r="J479" s="701"/>
      <c r="K479" s="701"/>
      <c r="L479" s="701"/>
      <c r="M479" s="701"/>
      <c r="N479" s="701">
        <v>1</v>
      </c>
      <c r="O479" s="701">
        <v>10779.22</v>
      </c>
      <c r="P479" s="723"/>
      <c r="Q479" s="702">
        <v>10779.22</v>
      </c>
    </row>
    <row r="480" spans="1:17" ht="14.4" customHeight="1" x14ac:dyDescent="0.3">
      <c r="A480" s="696" t="s">
        <v>505</v>
      </c>
      <c r="B480" s="697" t="s">
        <v>2707</v>
      </c>
      <c r="C480" s="697" t="s">
        <v>3294</v>
      </c>
      <c r="D480" s="697" t="s">
        <v>3519</v>
      </c>
      <c r="E480" s="697" t="s">
        <v>3520</v>
      </c>
      <c r="F480" s="701"/>
      <c r="G480" s="701"/>
      <c r="H480" s="701"/>
      <c r="I480" s="701"/>
      <c r="J480" s="701"/>
      <c r="K480" s="701"/>
      <c r="L480" s="701"/>
      <c r="M480" s="701"/>
      <c r="N480" s="701">
        <v>1</v>
      </c>
      <c r="O480" s="701">
        <v>9112.75</v>
      </c>
      <c r="P480" s="723"/>
      <c r="Q480" s="702">
        <v>9112.75</v>
      </c>
    </row>
    <row r="481" spans="1:17" ht="14.4" customHeight="1" x14ac:dyDescent="0.3">
      <c r="A481" s="696" t="s">
        <v>505</v>
      </c>
      <c r="B481" s="697" t="s">
        <v>2707</v>
      </c>
      <c r="C481" s="697" t="s">
        <v>3294</v>
      </c>
      <c r="D481" s="697" t="s">
        <v>3521</v>
      </c>
      <c r="E481" s="697" t="s">
        <v>3522</v>
      </c>
      <c r="F481" s="701"/>
      <c r="G481" s="701"/>
      <c r="H481" s="701"/>
      <c r="I481" s="701"/>
      <c r="J481" s="701"/>
      <c r="K481" s="701"/>
      <c r="L481" s="701"/>
      <c r="M481" s="701"/>
      <c r="N481" s="701">
        <v>5</v>
      </c>
      <c r="O481" s="701">
        <v>5747.5</v>
      </c>
      <c r="P481" s="723"/>
      <c r="Q481" s="702">
        <v>1149.5</v>
      </c>
    </row>
    <row r="482" spans="1:17" ht="14.4" customHeight="1" x14ac:dyDescent="0.3">
      <c r="A482" s="696" t="s">
        <v>505</v>
      </c>
      <c r="B482" s="697" t="s">
        <v>2707</v>
      </c>
      <c r="C482" s="697" t="s">
        <v>3294</v>
      </c>
      <c r="D482" s="697" t="s">
        <v>3523</v>
      </c>
      <c r="E482" s="697" t="s">
        <v>3522</v>
      </c>
      <c r="F482" s="701"/>
      <c r="G482" s="701"/>
      <c r="H482" s="701"/>
      <c r="I482" s="701"/>
      <c r="J482" s="701"/>
      <c r="K482" s="701"/>
      <c r="L482" s="701"/>
      <c r="M482" s="701"/>
      <c r="N482" s="701">
        <v>4</v>
      </c>
      <c r="O482" s="701">
        <v>7606.92</v>
      </c>
      <c r="P482" s="723"/>
      <c r="Q482" s="702">
        <v>1901.73</v>
      </c>
    </row>
    <row r="483" spans="1:17" ht="14.4" customHeight="1" x14ac:dyDescent="0.3">
      <c r="A483" s="696" t="s">
        <v>505</v>
      </c>
      <c r="B483" s="697" t="s">
        <v>2707</v>
      </c>
      <c r="C483" s="697" t="s">
        <v>3294</v>
      </c>
      <c r="D483" s="697" t="s">
        <v>3524</v>
      </c>
      <c r="E483" s="697" t="s">
        <v>3525</v>
      </c>
      <c r="F483" s="701">
        <v>2</v>
      </c>
      <c r="G483" s="701">
        <v>2624</v>
      </c>
      <c r="H483" s="701"/>
      <c r="I483" s="701">
        <v>1312</v>
      </c>
      <c r="J483" s="701"/>
      <c r="K483" s="701"/>
      <c r="L483" s="701"/>
      <c r="M483" s="701"/>
      <c r="N483" s="701"/>
      <c r="O483" s="701"/>
      <c r="P483" s="723"/>
      <c r="Q483" s="702"/>
    </row>
    <row r="484" spans="1:17" ht="14.4" customHeight="1" x14ac:dyDescent="0.3">
      <c r="A484" s="696" t="s">
        <v>505</v>
      </c>
      <c r="B484" s="697" t="s">
        <v>2707</v>
      </c>
      <c r="C484" s="697" t="s">
        <v>3294</v>
      </c>
      <c r="D484" s="697" t="s">
        <v>3526</v>
      </c>
      <c r="E484" s="697" t="s">
        <v>3527</v>
      </c>
      <c r="F484" s="701">
        <v>19</v>
      </c>
      <c r="G484" s="701">
        <v>1835.4</v>
      </c>
      <c r="H484" s="701">
        <v>0.73076923076923084</v>
      </c>
      <c r="I484" s="701">
        <v>96.600000000000009</v>
      </c>
      <c r="J484" s="701">
        <v>26</v>
      </c>
      <c r="K484" s="701">
        <v>2511.6</v>
      </c>
      <c r="L484" s="701">
        <v>1</v>
      </c>
      <c r="M484" s="701">
        <v>96.6</v>
      </c>
      <c r="N484" s="701">
        <v>74</v>
      </c>
      <c r="O484" s="701">
        <v>7148.4</v>
      </c>
      <c r="P484" s="723">
        <v>2.8461538461538463</v>
      </c>
      <c r="Q484" s="702">
        <v>96.6</v>
      </c>
    </row>
    <row r="485" spans="1:17" ht="14.4" customHeight="1" x14ac:dyDescent="0.3">
      <c r="A485" s="696" t="s">
        <v>505</v>
      </c>
      <c r="B485" s="697" t="s">
        <v>2707</v>
      </c>
      <c r="C485" s="697" t="s">
        <v>3294</v>
      </c>
      <c r="D485" s="697" t="s">
        <v>3528</v>
      </c>
      <c r="E485" s="697" t="s">
        <v>3529</v>
      </c>
      <c r="F485" s="701">
        <v>1</v>
      </c>
      <c r="G485" s="701">
        <v>564</v>
      </c>
      <c r="H485" s="701"/>
      <c r="I485" s="701">
        <v>564</v>
      </c>
      <c r="J485" s="701"/>
      <c r="K485" s="701"/>
      <c r="L485" s="701"/>
      <c r="M485" s="701"/>
      <c r="N485" s="701"/>
      <c r="O485" s="701"/>
      <c r="P485" s="723"/>
      <c r="Q485" s="702"/>
    </row>
    <row r="486" spans="1:17" ht="14.4" customHeight="1" x14ac:dyDescent="0.3">
      <c r="A486" s="696" t="s">
        <v>505</v>
      </c>
      <c r="B486" s="697" t="s">
        <v>2707</v>
      </c>
      <c r="C486" s="697" t="s">
        <v>3294</v>
      </c>
      <c r="D486" s="697" t="s">
        <v>3530</v>
      </c>
      <c r="E486" s="697" t="s">
        <v>3531</v>
      </c>
      <c r="F486" s="701">
        <v>2</v>
      </c>
      <c r="G486" s="701">
        <v>5594.3</v>
      </c>
      <c r="H486" s="701"/>
      <c r="I486" s="701">
        <v>2797.15</v>
      </c>
      <c r="J486" s="701"/>
      <c r="K486" s="701"/>
      <c r="L486" s="701"/>
      <c r="M486" s="701"/>
      <c r="N486" s="701"/>
      <c r="O486" s="701"/>
      <c r="P486" s="723"/>
      <c r="Q486" s="702"/>
    </row>
    <row r="487" spans="1:17" ht="14.4" customHeight="1" x14ac:dyDescent="0.3">
      <c r="A487" s="696" t="s">
        <v>505</v>
      </c>
      <c r="B487" s="697" t="s">
        <v>2707</v>
      </c>
      <c r="C487" s="697" t="s">
        <v>3294</v>
      </c>
      <c r="D487" s="697" t="s">
        <v>3532</v>
      </c>
      <c r="E487" s="697" t="s">
        <v>3533</v>
      </c>
      <c r="F487" s="701">
        <v>1</v>
      </c>
      <c r="G487" s="701">
        <v>3278.02</v>
      </c>
      <c r="H487" s="701">
        <v>1</v>
      </c>
      <c r="I487" s="701">
        <v>3278.02</v>
      </c>
      <c r="J487" s="701">
        <v>1</v>
      </c>
      <c r="K487" s="701">
        <v>3278.02</v>
      </c>
      <c r="L487" s="701">
        <v>1</v>
      </c>
      <c r="M487" s="701">
        <v>3278.02</v>
      </c>
      <c r="N487" s="701"/>
      <c r="O487" s="701"/>
      <c r="P487" s="723"/>
      <c r="Q487" s="702"/>
    </row>
    <row r="488" spans="1:17" ht="14.4" customHeight="1" x14ac:dyDescent="0.3">
      <c r="A488" s="696" t="s">
        <v>505</v>
      </c>
      <c r="B488" s="697" t="s">
        <v>2707</v>
      </c>
      <c r="C488" s="697" t="s">
        <v>3294</v>
      </c>
      <c r="D488" s="697" t="s">
        <v>3534</v>
      </c>
      <c r="E488" s="697" t="s">
        <v>3535</v>
      </c>
      <c r="F488" s="701">
        <v>1</v>
      </c>
      <c r="G488" s="701">
        <v>6968.51</v>
      </c>
      <c r="H488" s="701">
        <v>0.5</v>
      </c>
      <c r="I488" s="701">
        <v>6968.51</v>
      </c>
      <c r="J488" s="701">
        <v>2</v>
      </c>
      <c r="K488" s="701">
        <v>13937.02</v>
      </c>
      <c r="L488" s="701">
        <v>1</v>
      </c>
      <c r="M488" s="701">
        <v>6968.51</v>
      </c>
      <c r="N488" s="701"/>
      <c r="O488" s="701"/>
      <c r="P488" s="723"/>
      <c r="Q488" s="702"/>
    </row>
    <row r="489" spans="1:17" ht="14.4" customHeight="1" x14ac:dyDescent="0.3">
      <c r="A489" s="696" t="s">
        <v>505</v>
      </c>
      <c r="B489" s="697" t="s">
        <v>2707</v>
      </c>
      <c r="C489" s="697" t="s">
        <v>3294</v>
      </c>
      <c r="D489" s="697" t="s">
        <v>3536</v>
      </c>
      <c r="E489" s="697" t="s">
        <v>3535</v>
      </c>
      <c r="F489" s="701">
        <v>2</v>
      </c>
      <c r="G489" s="701">
        <v>16685.46</v>
      </c>
      <c r="H489" s="701"/>
      <c r="I489" s="701">
        <v>8342.73</v>
      </c>
      <c r="J489" s="701"/>
      <c r="K489" s="701"/>
      <c r="L489" s="701"/>
      <c r="M489" s="701"/>
      <c r="N489" s="701"/>
      <c r="O489" s="701"/>
      <c r="P489" s="723"/>
      <c r="Q489" s="702"/>
    </row>
    <row r="490" spans="1:17" ht="14.4" customHeight="1" x14ac:dyDescent="0.3">
      <c r="A490" s="696" t="s">
        <v>505</v>
      </c>
      <c r="B490" s="697" t="s">
        <v>2707</v>
      </c>
      <c r="C490" s="697" t="s">
        <v>3294</v>
      </c>
      <c r="D490" s="697" t="s">
        <v>3537</v>
      </c>
      <c r="E490" s="697" t="s">
        <v>3538</v>
      </c>
      <c r="F490" s="701"/>
      <c r="G490" s="701"/>
      <c r="H490" s="701"/>
      <c r="I490" s="701"/>
      <c r="J490" s="701">
        <v>1</v>
      </c>
      <c r="K490" s="701">
        <v>10320.11</v>
      </c>
      <c r="L490" s="701">
        <v>1</v>
      </c>
      <c r="M490" s="701">
        <v>10320.11</v>
      </c>
      <c r="N490" s="701"/>
      <c r="O490" s="701"/>
      <c r="P490" s="723"/>
      <c r="Q490" s="702"/>
    </row>
    <row r="491" spans="1:17" ht="14.4" customHeight="1" x14ac:dyDescent="0.3">
      <c r="A491" s="696" t="s">
        <v>505</v>
      </c>
      <c r="B491" s="697" t="s">
        <v>2707</v>
      </c>
      <c r="C491" s="697" t="s">
        <v>3294</v>
      </c>
      <c r="D491" s="697" t="s">
        <v>3539</v>
      </c>
      <c r="E491" s="697" t="s">
        <v>3540</v>
      </c>
      <c r="F491" s="701">
        <v>1</v>
      </c>
      <c r="G491" s="701">
        <v>9736.64</v>
      </c>
      <c r="H491" s="701"/>
      <c r="I491" s="701">
        <v>9736.64</v>
      </c>
      <c r="J491" s="701"/>
      <c r="K491" s="701"/>
      <c r="L491" s="701"/>
      <c r="M491" s="701"/>
      <c r="N491" s="701"/>
      <c r="O491" s="701"/>
      <c r="P491" s="723"/>
      <c r="Q491" s="702"/>
    </row>
    <row r="492" spans="1:17" ht="14.4" customHeight="1" x14ac:dyDescent="0.3">
      <c r="A492" s="696" t="s">
        <v>505</v>
      </c>
      <c r="B492" s="697" t="s">
        <v>2707</v>
      </c>
      <c r="C492" s="697" t="s">
        <v>3294</v>
      </c>
      <c r="D492" s="697" t="s">
        <v>3541</v>
      </c>
      <c r="E492" s="697" t="s">
        <v>3542</v>
      </c>
      <c r="F492" s="701"/>
      <c r="G492" s="701"/>
      <c r="H492" s="701"/>
      <c r="I492" s="701"/>
      <c r="J492" s="701">
        <v>2</v>
      </c>
      <c r="K492" s="701">
        <v>2381.56</v>
      </c>
      <c r="L492" s="701">
        <v>1</v>
      </c>
      <c r="M492" s="701">
        <v>1190.78</v>
      </c>
      <c r="N492" s="701">
        <v>2</v>
      </c>
      <c r="O492" s="701">
        <v>2381.56</v>
      </c>
      <c r="P492" s="723">
        <v>1</v>
      </c>
      <c r="Q492" s="702">
        <v>1190.78</v>
      </c>
    </row>
    <row r="493" spans="1:17" ht="14.4" customHeight="1" x14ac:dyDescent="0.3">
      <c r="A493" s="696" t="s">
        <v>505</v>
      </c>
      <c r="B493" s="697" t="s">
        <v>2707</v>
      </c>
      <c r="C493" s="697" t="s">
        <v>3294</v>
      </c>
      <c r="D493" s="697" t="s">
        <v>3543</v>
      </c>
      <c r="E493" s="697" t="s">
        <v>3542</v>
      </c>
      <c r="F493" s="701"/>
      <c r="G493" s="701"/>
      <c r="H493" s="701"/>
      <c r="I493" s="701"/>
      <c r="J493" s="701">
        <v>3</v>
      </c>
      <c r="K493" s="701">
        <v>3678.06</v>
      </c>
      <c r="L493" s="701">
        <v>1</v>
      </c>
      <c r="M493" s="701">
        <v>1226.02</v>
      </c>
      <c r="N493" s="701">
        <v>3</v>
      </c>
      <c r="O493" s="701">
        <v>3678.06</v>
      </c>
      <c r="P493" s="723">
        <v>1</v>
      </c>
      <c r="Q493" s="702">
        <v>1226.02</v>
      </c>
    </row>
    <row r="494" spans="1:17" ht="14.4" customHeight="1" x14ac:dyDescent="0.3">
      <c r="A494" s="696" t="s">
        <v>505</v>
      </c>
      <c r="B494" s="697" t="s">
        <v>2707</v>
      </c>
      <c r="C494" s="697" t="s">
        <v>3294</v>
      </c>
      <c r="D494" s="697" t="s">
        <v>3544</v>
      </c>
      <c r="E494" s="697" t="s">
        <v>3545</v>
      </c>
      <c r="F494" s="701"/>
      <c r="G494" s="701"/>
      <c r="H494" s="701"/>
      <c r="I494" s="701"/>
      <c r="J494" s="701">
        <v>1</v>
      </c>
      <c r="K494" s="701">
        <v>5523.82</v>
      </c>
      <c r="L494" s="701">
        <v>1</v>
      </c>
      <c r="M494" s="701">
        <v>5523.82</v>
      </c>
      <c r="N494" s="701"/>
      <c r="O494" s="701"/>
      <c r="P494" s="723"/>
      <c r="Q494" s="702"/>
    </row>
    <row r="495" spans="1:17" ht="14.4" customHeight="1" x14ac:dyDescent="0.3">
      <c r="A495" s="696" t="s">
        <v>505</v>
      </c>
      <c r="B495" s="697" t="s">
        <v>2707</v>
      </c>
      <c r="C495" s="697" t="s">
        <v>3294</v>
      </c>
      <c r="D495" s="697" t="s">
        <v>3546</v>
      </c>
      <c r="E495" s="697" t="s">
        <v>3547</v>
      </c>
      <c r="F495" s="701">
        <v>3</v>
      </c>
      <c r="G495" s="701">
        <v>40999.26</v>
      </c>
      <c r="H495" s="701"/>
      <c r="I495" s="701">
        <v>13666.42</v>
      </c>
      <c r="J495" s="701"/>
      <c r="K495" s="701"/>
      <c r="L495" s="701"/>
      <c r="M495" s="701"/>
      <c r="N495" s="701"/>
      <c r="O495" s="701"/>
      <c r="P495" s="723"/>
      <c r="Q495" s="702"/>
    </row>
    <row r="496" spans="1:17" ht="14.4" customHeight="1" x14ac:dyDescent="0.3">
      <c r="A496" s="696" t="s">
        <v>505</v>
      </c>
      <c r="B496" s="697" t="s">
        <v>2707</v>
      </c>
      <c r="C496" s="697" t="s">
        <v>3294</v>
      </c>
      <c r="D496" s="697" t="s">
        <v>3548</v>
      </c>
      <c r="E496" s="697" t="s">
        <v>3549</v>
      </c>
      <c r="F496" s="701">
        <v>1</v>
      </c>
      <c r="G496" s="701">
        <v>6755.23</v>
      </c>
      <c r="H496" s="701"/>
      <c r="I496" s="701">
        <v>6755.23</v>
      </c>
      <c r="J496" s="701"/>
      <c r="K496" s="701"/>
      <c r="L496" s="701"/>
      <c r="M496" s="701"/>
      <c r="N496" s="701"/>
      <c r="O496" s="701"/>
      <c r="P496" s="723"/>
      <c r="Q496" s="702"/>
    </row>
    <row r="497" spans="1:17" ht="14.4" customHeight="1" x14ac:dyDescent="0.3">
      <c r="A497" s="696" t="s">
        <v>505</v>
      </c>
      <c r="B497" s="697" t="s">
        <v>2707</v>
      </c>
      <c r="C497" s="697" t="s">
        <v>3294</v>
      </c>
      <c r="D497" s="697" t="s">
        <v>3550</v>
      </c>
      <c r="E497" s="697" t="s">
        <v>3551</v>
      </c>
      <c r="F497" s="701"/>
      <c r="G497" s="701"/>
      <c r="H497" s="701"/>
      <c r="I497" s="701"/>
      <c r="J497" s="701">
        <v>1</v>
      </c>
      <c r="K497" s="701">
        <v>11571</v>
      </c>
      <c r="L497" s="701">
        <v>1</v>
      </c>
      <c r="M497" s="701">
        <v>11571</v>
      </c>
      <c r="N497" s="701">
        <v>2</v>
      </c>
      <c r="O497" s="701">
        <v>23142</v>
      </c>
      <c r="P497" s="723">
        <v>2</v>
      </c>
      <c r="Q497" s="702">
        <v>11571</v>
      </c>
    </row>
    <row r="498" spans="1:17" ht="14.4" customHeight="1" x14ac:dyDescent="0.3">
      <c r="A498" s="696" t="s">
        <v>505</v>
      </c>
      <c r="B498" s="697" t="s">
        <v>2707</v>
      </c>
      <c r="C498" s="697" t="s">
        <v>3294</v>
      </c>
      <c r="D498" s="697" t="s">
        <v>3552</v>
      </c>
      <c r="E498" s="697" t="s">
        <v>3375</v>
      </c>
      <c r="F498" s="701">
        <v>2</v>
      </c>
      <c r="G498" s="701">
        <v>2719.42</v>
      </c>
      <c r="H498" s="701">
        <v>0.66666666666666663</v>
      </c>
      <c r="I498" s="701">
        <v>1359.71</v>
      </c>
      <c r="J498" s="701">
        <v>3</v>
      </c>
      <c r="K498" s="701">
        <v>4079.13</v>
      </c>
      <c r="L498" s="701">
        <v>1</v>
      </c>
      <c r="M498" s="701">
        <v>1359.71</v>
      </c>
      <c r="N498" s="701">
        <v>3</v>
      </c>
      <c r="O498" s="701">
        <v>4079.13</v>
      </c>
      <c r="P498" s="723">
        <v>1</v>
      </c>
      <c r="Q498" s="702">
        <v>1359.71</v>
      </c>
    </row>
    <row r="499" spans="1:17" ht="14.4" customHeight="1" x14ac:dyDescent="0.3">
      <c r="A499" s="696" t="s">
        <v>505</v>
      </c>
      <c r="B499" s="697" t="s">
        <v>2707</v>
      </c>
      <c r="C499" s="697" t="s">
        <v>3294</v>
      </c>
      <c r="D499" s="697" t="s">
        <v>3553</v>
      </c>
      <c r="E499" s="697" t="s">
        <v>3554</v>
      </c>
      <c r="F499" s="701"/>
      <c r="G499" s="701"/>
      <c r="H499" s="701"/>
      <c r="I499" s="701"/>
      <c r="J499" s="701">
        <v>1</v>
      </c>
      <c r="K499" s="701">
        <v>1423.96</v>
      </c>
      <c r="L499" s="701">
        <v>1</v>
      </c>
      <c r="M499" s="701">
        <v>1423.96</v>
      </c>
      <c r="N499" s="701"/>
      <c r="O499" s="701"/>
      <c r="P499" s="723"/>
      <c r="Q499" s="702"/>
    </row>
    <row r="500" spans="1:17" ht="14.4" customHeight="1" x14ac:dyDescent="0.3">
      <c r="A500" s="696" t="s">
        <v>505</v>
      </c>
      <c r="B500" s="697" t="s">
        <v>2707</v>
      </c>
      <c r="C500" s="697" t="s">
        <v>3294</v>
      </c>
      <c r="D500" s="697" t="s">
        <v>3555</v>
      </c>
      <c r="E500" s="697" t="s">
        <v>3556</v>
      </c>
      <c r="F500" s="701"/>
      <c r="G500" s="701"/>
      <c r="H500" s="701"/>
      <c r="I500" s="701"/>
      <c r="J500" s="701">
        <v>2</v>
      </c>
      <c r="K500" s="701">
        <v>437.34</v>
      </c>
      <c r="L500" s="701">
        <v>1</v>
      </c>
      <c r="M500" s="701">
        <v>218.67</v>
      </c>
      <c r="N500" s="701">
        <v>2</v>
      </c>
      <c r="O500" s="701">
        <v>437.34</v>
      </c>
      <c r="P500" s="723">
        <v>1</v>
      </c>
      <c r="Q500" s="702">
        <v>218.67</v>
      </c>
    </row>
    <row r="501" spans="1:17" ht="14.4" customHeight="1" x14ac:dyDescent="0.3">
      <c r="A501" s="696" t="s">
        <v>505</v>
      </c>
      <c r="B501" s="697" t="s">
        <v>2707</v>
      </c>
      <c r="C501" s="697" t="s">
        <v>3294</v>
      </c>
      <c r="D501" s="697" t="s">
        <v>3557</v>
      </c>
      <c r="E501" s="697" t="s">
        <v>3558</v>
      </c>
      <c r="F501" s="701">
        <v>4</v>
      </c>
      <c r="G501" s="701">
        <v>7133.92</v>
      </c>
      <c r="H501" s="701"/>
      <c r="I501" s="701">
        <v>1783.48</v>
      </c>
      <c r="J501" s="701"/>
      <c r="K501" s="701"/>
      <c r="L501" s="701"/>
      <c r="M501" s="701"/>
      <c r="N501" s="701"/>
      <c r="O501" s="701"/>
      <c r="P501" s="723"/>
      <c r="Q501" s="702"/>
    </row>
    <row r="502" spans="1:17" ht="14.4" customHeight="1" x14ac:dyDescent="0.3">
      <c r="A502" s="696" t="s">
        <v>505</v>
      </c>
      <c r="B502" s="697" t="s">
        <v>2707</v>
      </c>
      <c r="C502" s="697" t="s">
        <v>3294</v>
      </c>
      <c r="D502" s="697" t="s">
        <v>3559</v>
      </c>
      <c r="E502" s="697" t="s">
        <v>3560</v>
      </c>
      <c r="F502" s="701">
        <v>2</v>
      </c>
      <c r="G502" s="701">
        <v>478.8</v>
      </c>
      <c r="H502" s="701"/>
      <c r="I502" s="701">
        <v>239.4</v>
      </c>
      <c r="J502" s="701"/>
      <c r="K502" s="701"/>
      <c r="L502" s="701"/>
      <c r="M502" s="701"/>
      <c r="N502" s="701"/>
      <c r="O502" s="701"/>
      <c r="P502" s="723"/>
      <c r="Q502" s="702"/>
    </row>
    <row r="503" spans="1:17" ht="14.4" customHeight="1" x14ac:dyDescent="0.3">
      <c r="A503" s="696" t="s">
        <v>505</v>
      </c>
      <c r="B503" s="697" t="s">
        <v>2707</v>
      </c>
      <c r="C503" s="697" t="s">
        <v>3294</v>
      </c>
      <c r="D503" s="697" t="s">
        <v>3561</v>
      </c>
      <c r="E503" s="697" t="s">
        <v>3562</v>
      </c>
      <c r="F503" s="701">
        <v>6</v>
      </c>
      <c r="G503" s="701">
        <v>68028</v>
      </c>
      <c r="H503" s="701"/>
      <c r="I503" s="701">
        <v>11338</v>
      </c>
      <c r="J503" s="701"/>
      <c r="K503" s="701"/>
      <c r="L503" s="701"/>
      <c r="M503" s="701"/>
      <c r="N503" s="701">
        <v>2</v>
      </c>
      <c r="O503" s="701">
        <v>22676</v>
      </c>
      <c r="P503" s="723"/>
      <c r="Q503" s="702">
        <v>11338</v>
      </c>
    </row>
    <row r="504" spans="1:17" ht="14.4" customHeight="1" x14ac:dyDescent="0.3">
      <c r="A504" s="696" t="s">
        <v>505</v>
      </c>
      <c r="B504" s="697" t="s">
        <v>2707</v>
      </c>
      <c r="C504" s="697" t="s">
        <v>3294</v>
      </c>
      <c r="D504" s="697" t="s">
        <v>3563</v>
      </c>
      <c r="E504" s="697" t="s">
        <v>3564</v>
      </c>
      <c r="F504" s="701">
        <v>1</v>
      </c>
      <c r="G504" s="701">
        <v>2707</v>
      </c>
      <c r="H504" s="701"/>
      <c r="I504" s="701">
        <v>2707</v>
      </c>
      <c r="J504" s="701"/>
      <c r="K504" s="701"/>
      <c r="L504" s="701"/>
      <c r="M504" s="701"/>
      <c r="N504" s="701"/>
      <c r="O504" s="701"/>
      <c r="P504" s="723"/>
      <c r="Q504" s="702"/>
    </row>
    <row r="505" spans="1:17" ht="14.4" customHeight="1" x14ac:dyDescent="0.3">
      <c r="A505" s="696" t="s">
        <v>505</v>
      </c>
      <c r="B505" s="697" t="s">
        <v>2707</v>
      </c>
      <c r="C505" s="697" t="s">
        <v>3294</v>
      </c>
      <c r="D505" s="697" t="s">
        <v>3565</v>
      </c>
      <c r="E505" s="697" t="s">
        <v>3566</v>
      </c>
      <c r="F505" s="701">
        <v>7</v>
      </c>
      <c r="G505" s="701">
        <v>32256</v>
      </c>
      <c r="H505" s="701"/>
      <c r="I505" s="701">
        <v>4608</v>
      </c>
      <c r="J505" s="701"/>
      <c r="K505" s="701"/>
      <c r="L505" s="701"/>
      <c r="M505" s="701"/>
      <c r="N505" s="701">
        <v>2</v>
      </c>
      <c r="O505" s="701">
        <v>9216</v>
      </c>
      <c r="P505" s="723"/>
      <c r="Q505" s="702">
        <v>4608</v>
      </c>
    </row>
    <row r="506" spans="1:17" ht="14.4" customHeight="1" x14ac:dyDescent="0.3">
      <c r="A506" s="696" t="s">
        <v>505</v>
      </c>
      <c r="B506" s="697" t="s">
        <v>2707</v>
      </c>
      <c r="C506" s="697" t="s">
        <v>3294</v>
      </c>
      <c r="D506" s="697" t="s">
        <v>3567</v>
      </c>
      <c r="E506" s="697" t="s">
        <v>3568</v>
      </c>
      <c r="F506" s="701">
        <v>7</v>
      </c>
      <c r="G506" s="701">
        <v>18949</v>
      </c>
      <c r="H506" s="701"/>
      <c r="I506" s="701">
        <v>2707</v>
      </c>
      <c r="J506" s="701"/>
      <c r="K506" s="701"/>
      <c r="L506" s="701"/>
      <c r="M506" s="701"/>
      <c r="N506" s="701">
        <v>2</v>
      </c>
      <c r="O506" s="701">
        <v>5137.96</v>
      </c>
      <c r="P506" s="723"/>
      <c r="Q506" s="702">
        <v>2568.98</v>
      </c>
    </row>
    <row r="507" spans="1:17" ht="14.4" customHeight="1" x14ac:dyDescent="0.3">
      <c r="A507" s="696" t="s">
        <v>505</v>
      </c>
      <c r="B507" s="697" t="s">
        <v>2707</v>
      </c>
      <c r="C507" s="697" t="s">
        <v>3294</v>
      </c>
      <c r="D507" s="697" t="s">
        <v>3569</v>
      </c>
      <c r="E507" s="697" t="s">
        <v>3394</v>
      </c>
      <c r="F507" s="701">
        <v>1</v>
      </c>
      <c r="G507" s="701">
        <v>1386.65</v>
      </c>
      <c r="H507" s="701"/>
      <c r="I507" s="701">
        <v>1386.65</v>
      </c>
      <c r="J507" s="701"/>
      <c r="K507" s="701"/>
      <c r="L507" s="701"/>
      <c r="M507" s="701"/>
      <c r="N507" s="701">
        <v>2</v>
      </c>
      <c r="O507" s="701">
        <v>2773.3</v>
      </c>
      <c r="P507" s="723"/>
      <c r="Q507" s="702">
        <v>1386.65</v>
      </c>
    </row>
    <row r="508" spans="1:17" ht="14.4" customHeight="1" x14ac:dyDescent="0.3">
      <c r="A508" s="696" t="s">
        <v>505</v>
      </c>
      <c r="B508" s="697" t="s">
        <v>2707</v>
      </c>
      <c r="C508" s="697" t="s">
        <v>3294</v>
      </c>
      <c r="D508" s="697" t="s">
        <v>3570</v>
      </c>
      <c r="E508" s="697" t="s">
        <v>3571</v>
      </c>
      <c r="F508" s="701">
        <v>2</v>
      </c>
      <c r="G508" s="701">
        <v>18279.38</v>
      </c>
      <c r="H508" s="701"/>
      <c r="I508" s="701">
        <v>9139.69</v>
      </c>
      <c r="J508" s="701"/>
      <c r="K508" s="701"/>
      <c r="L508" s="701"/>
      <c r="M508" s="701"/>
      <c r="N508" s="701">
        <v>2</v>
      </c>
      <c r="O508" s="701">
        <v>18279.38</v>
      </c>
      <c r="P508" s="723"/>
      <c r="Q508" s="702">
        <v>9139.69</v>
      </c>
    </row>
    <row r="509" spans="1:17" ht="14.4" customHeight="1" x14ac:dyDescent="0.3">
      <c r="A509" s="696" t="s">
        <v>505</v>
      </c>
      <c r="B509" s="697" t="s">
        <v>2707</v>
      </c>
      <c r="C509" s="697" t="s">
        <v>3294</v>
      </c>
      <c r="D509" s="697" t="s">
        <v>3572</v>
      </c>
      <c r="E509" s="697" t="s">
        <v>3573</v>
      </c>
      <c r="F509" s="701">
        <v>1</v>
      </c>
      <c r="G509" s="701">
        <v>2129.73</v>
      </c>
      <c r="H509" s="701">
        <v>0.25</v>
      </c>
      <c r="I509" s="701">
        <v>2129.73</v>
      </c>
      <c r="J509" s="701">
        <v>4</v>
      </c>
      <c r="K509" s="701">
        <v>8518.92</v>
      </c>
      <c r="L509" s="701">
        <v>1</v>
      </c>
      <c r="M509" s="701">
        <v>2129.73</v>
      </c>
      <c r="N509" s="701">
        <v>2</v>
      </c>
      <c r="O509" s="701">
        <v>4259.46</v>
      </c>
      <c r="P509" s="723">
        <v>0.5</v>
      </c>
      <c r="Q509" s="702">
        <v>2129.73</v>
      </c>
    </row>
    <row r="510" spans="1:17" ht="14.4" customHeight="1" x14ac:dyDescent="0.3">
      <c r="A510" s="696" t="s">
        <v>505</v>
      </c>
      <c r="B510" s="697" t="s">
        <v>2707</v>
      </c>
      <c r="C510" s="697" t="s">
        <v>3294</v>
      </c>
      <c r="D510" s="697" t="s">
        <v>3574</v>
      </c>
      <c r="E510" s="697" t="s">
        <v>3575</v>
      </c>
      <c r="F510" s="701"/>
      <c r="G510" s="701"/>
      <c r="H510" s="701"/>
      <c r="I510" s="701"/>
      <c r="J510" s="701"/>
      <c r="K510" s="701"/>
      <c r="L510" s="701"/>
      <c r="M510" s="701"/>
      <c r="N510" s="701">
        <v>1</v>
      </c>
      <c r="O510" s="701">
        <v>10236.68</v>
      </c>
      <c r="P510" s="723"/>
      <c r="Q510" s="702">
        <v>10236.68</v>
      </c>
    </row>
    <row r="511" spans="1:17" ht="14.4" customHeight="1" x14ac:dyDescent="0.3">
      <c r="A511" s="696" t="s">
        <v>505</v>
      </c>
      <c r="B511" s="697" t="s">
        <v>2707</v>
      </c>
      <c r="C511" s="697" t="s">
        <v>3294</v>
      </c>
      <c r="D511" s="697" t="s">
        <v>3576</v>
      </c>
      <c r="E511" s="697" t="s">
        <v>3577</v>
      </c>
      <c r="F511" s="701"/>
      <c r="G511" s="701"/>
      <c r="H511" s="701"/>
      <c r="I511" s="701"/>
      <c r="J511" s="701">
        <v>1</v>
      </c>
      <c r="K511" s="701">
        <v>10522.82</v>
      </c>
      <c r="L511" s="701">
        <v>1</v>
      </c>
      <c r="M511" s="701">
        <v>10522.82</v>
      </c>
      <c r="N511" s="701"/>
      <c r="O511" s="701"/>
      <c r="P511" s="723"/>
      <c r="Q511" s="702"/>
    </row>
    <row r="512" spans="1:17" ht="14.4" customHeight="1" x14ac:dyDescent="0.3">
      <c r="A512" s="696" t="s">
        <v>505</v>
      </c>
      <c r="B512" s="697" t="s">
        <v>2707</v>
      </c>
      <c r="C512" s="697" t="s">
        <v>3294</v>
      </c>
      <c r="D512" s="697" t="s">
        <v>3578</v>
      </c>
      <c r="E512" s="697" t="s">
        <v>3579</v>
      </c>
      <c r="F512" s="701">
        <v>1</v>
      </c>
      <c r="G512" s="701">
        <v>8691.98</v>
      </c>
      <c r="H512" s="701"/>
      <c r="I512" s="701">
        <v>8691.98</v>
      </c>
      <c r="J512" s="701"/>
      <c r="K512" s="701"/>
      <c r="L512" s="701"/>
      <c r="M512" s="701"/>
      <c r="N512" s="701"/>
      <c r="O512" s="701"/>
      <c r="P512" s="723"/>
      <c r="Q512" s="702"/>
    </row>
    <row r="513" spans="1:17" ht="14.4" customHeight="1" x14ac:dyDescent="0.3">
      <c r="A513" s="696" t="s">
        <v>505</v>
      </c>
      <c r="B513" s="697" t="s">
        <v>2707</v>
      </c>
      <c r="C513" s="697" t="s">
        <v>3294</v>
      </c>
      <c r="D513" s="697" t="s">
        <v>3580</v>
      </c>
      <c r="E513" s="697" t="s">
        <v>3581</v>
      </c>
      <c r="F513" s="701">
        <v>1</v>
      </c>
      <c r="G513" s="701">
        <v>4487.38</v>
      </c>
      <c r="H513" s="701">
        <v>1</v>
      </c>
      <c r="I513" s="701">
        <v>4487.38</v>
      </c>
      <c r="J513" s="701">
        <v>1</v>
      </c>
      <c r="K513" s="701">
        <v>4487.38</v>
      </c>
      <c r="L513" s="701">
        <v>1</v>
      </c>
      <c r="M513" s="701">
        <v>4487.38</v>
      </c>
      <c r="N513" s="701"/>
      <c r="O513" s="701"/>
      <c r="P513" s="723"/>
      <c r="Q513" s="702"/>
    </row>
    <row r="514" spans="1:17" ht="14.4" customHeight="1" x14ac:dyDescent="0.3">
      <c r="A514" s="696" t="s">
        <v>505</v>
      </c>
      <c r="B514" s="697" t="s">
        <v>2707</v>
      </c>
      <c r="C514" s="697" t="s">
        <v>3294</v>
      </c>
      <c r="D514" s="697" t="s">
        <v>3582</v>
      </c>
      <c r="E514" s="697" t="s">
        <v>3583</v>
      </c>
      <c r="F514" s="701">
        <v>5</v>
      </c>
      <c r="G514" s="701">
        <v>782.45</v>
      </c>
      <c r="H514" s="701">
        <v>0.25</v>
      </c>
      <c r="I514" s="701">
        <v>156.49</v>
      </c>
      <c r="J514" s="701">
        <v>20</v>
      </c>
      <c r="K514" s="701">
        <v>3129.8</v>
      </c>
      <c r="L514" s="701">
        <v>1</v>
      </c>
      <c r="M514" s="701">
        <v>156.49</v>
      </c>
      <c r="N514" s="701"/>
      <c r="O514" s="701"/>
      <c r="P514" s="723"/>
      <c r="Q514" s="702"/>
    </row>
    <row r="515" spans="1:17" ht="14.4" customHeight="1" x14ac:dyDescent="0.3">
      <c r="A515" s="696" t="s">
        <v>505</v>
      </c>
      <c r="B515" s="697" t="s">
        <v>2707</v>
      </c>
      <c r="C515" s="697" t="s">
        <v>3294</v>
      </c>
      <c r="D515" s="697" t="s">
        <v>3584</v>
      </c>
      <c r="E515" s="697" t="s">
        <v>3583</v>
      </c>
      <c r="F515" s="701">
        <v>28</v>
      </c>
      <c r="G515" s="701">
        <v>4817.12</v>
      </c>
      <c r="H515" s="701">
        <v>2</v>
      </c>
      <c r="I515" s="701">
        <v>172.04</v>
      </c>
      <c r="J515" s="701">
        <v>14</v>
      </c>
      <c r="K515" s="701">
        <v>2408.56</v>
      </c>
      <c r="L515" s="701">
        <v>1</v>
      </c>
      <c r="M515" s="701">
        <v>172.04</v>
      </c>
      <c r="N515" s="701"/>
      <c r="O515" s="701"/>
      <c r="P515" s="723"/>
      <c r="Q515" s="702"/>
    </row>
    <row r="516" spans="1:17" ht="14.4" customHeight="1" x14ac:dyDescent="0.3">
      <c r="A516" s="696" t="s">
        <v>505</v>
      </c>
      <c r="B516" s="697" t="s">
        <v>2707</v>
      </c>
      <c r="C516" s="697" t="s">
        <v>3294</v>
      </c>
      <c r="D516" s="697" t="s">
        <v>3585</v>
      </c>
      <c r="E516" s="697" t="s">
        <v>3583</v>
      </c>
      <c r="F516" s="701">
        <v>2</v>
      </c>
      <c r="G516" s="701">
        <v>393.82</v>
      </c>
      <c r="H516" s="701"/>
      <c r="I516" s="701">
        <v>196.91</v>
      </c>
      <c r="J516" s="701"/>
      <c r="K516" s="701"/>
      <c r="L516" s="701"/>
      <c r="M516" s="701"/>
      <c r="N516" s="701"/>
      <c r="O516" s="701"/>
      <c r="P516" s="723"/>
      <c r="Q516" s="702"/>
    </row>
    <row r="517" spans="1:17" ht="14.4" customHeight="1" x14ac:dyDescent="0.3">
      <c r="A517" s="696" t="s">
        <v>505</v>
      </c>
      <c r="B517" s="697" t="s">
        <v>2707</v>
      </c>
      <c r="C517" s="697" t="s">
        <v>3294</v>
      </c>
      <c r="D517" s="697" t="s">
        <v>3586</v>
      </c>
      <c r="E517" s="697" t="s">
        <v>3583</v>
      </c>
      <c r="F517" s="701"/>
      <c r="G517" s="701"/>
      <c r="H517" s="701"/>
      <c r="I517" s="701"/>
      <c r="J517" s="701">
        <v>1</v>
      </c>
      <c r="K517" s="701">
        <v>312.98</v>
      </c>
      <c r="L517" s="701">
        <v>1</v>
      </c>
      <c r="M517" s="701">
        <v>312.98</v>
      </c>
      <c r="N517" s="701"/>
      <c r="O517" s="701"/>
      <c r="P517" s="723"/>
      <c r="Q517" s="702"/>
    </row>
    <row r="518" spans="1:17" ht="14.4" customHeight="1" x14ac:dyDescent="0.3">
      <c r="A518" s="696" t="s">
        <v>505</v>
      </c>
      <c r="B518" s="697" t="s">
        <v>2707</v>
      </c>
      <c r="C518" s="697" t="s">
        <v>3294</v>
      </c>
      <c r="D518" s="697" t="s">
        <v>3587</v>
      </c>
      <c r="E518" s="697" t="s">
        <v>3583</v>
      </c>
      <c r="F518" s="701">
        <v>4</v>
      </c>
      <c r="G518" s="701">
        <v>1500.64</v>
      </c>
      <c r="H518" s="701">
        <v>0.11764705882352941</v>
      </c>
      <c r="I518" s="701">
        <v>375.16</v>
      </c>
      <c r="J518" s="701">
        <v>34</v>
      </c>
      <c r="K518" s="701">
        <v>12755.44</v>
      </c>
      <c r="L518" s="701">
        <v>1</v>
      </c>
      <c r="M518" s="701">
        <v>375.16</v>
      </c>
      <c r="N518" s="701"/>
      <c r="O518" s="701"/>
      <c r="P518" s="723"/>
      <c r="Q518" s="702"/>
    </row>
    <row r="519" spans="1:17" ht="14.4" customHeight="1" x14ac:dyDescent="0.3">
      <c r="A519" s="696" t="s">
        <v>505</v>
      </c>
      <c r="B519" s="697" t="s">
        <v>2707</v>
      </c>
      <c r="C519" s="697" t="s">
        <v>3294</v>
      </c>
      <c r="D519" s="697" t="s">
        <v>3588</v>
      </c>
      <c r="E519" s="697" t="s">
        <v>3583</v>
      </c>
      <c r="F519" s="701">
        <v>1</v>
      </c>
      <c r="G519" s="701">
        <v>418.69</v>
      </c>
      <c r="H519" s="701"/>
      <c r="I519" s="701">
        <v>418.69</v>
      </c>
      <c r="J519" s="701"/>
      <c r="K519" s="701"/>
      <c r="L519" s="701"/>
      <c r="M519" s="701"/>
      <c r="N519" s="701"/>
      <c r="O519" s="701"/>
      <c r="P519" s="723"/>
      <c r="Q519" s="702"/>
    </row>
    <row r="520" spans="1:17" ht="14.4" customHeight="1" x14ac:dyDescent="0.3">
      <c r="A520" s="696" t="s">
        <v>505</v>
      </c>
      <c r="B520" s="697" t="s">
        <v>2707</v>
      </c>
      <c r="C520" s="697" t="s">
        <v>3294</v>
      </c>
      <c r="D520" s="697" t="s">
        <v>3589</v>
      </c>
      <c r="E520" s="697" t="s">
        <v>3583</v>
      </c>
      <c r="F520" s="701">
        <v>1</v>
      </c>
      <c r="G520" s="701">
        <v>536.84</v>
      </c>
      <c r="H520" s="701">
        <v>7.1428571428571425E-2</v>
      </c>
      <c r="I520" s="701">
        <v>536.84</v>
      </c>
      <c r="J520" s="701">
        <v>14</v>
      </c>
      <c r="K520" s="701">
        <v>7515.76</v>
      </c>
      <c r="L520" s="701">
        <v>1</v>
      </c>
      <c r="M520" s="701">
        <v>536.84</v>
      </c>
      <c r="N520" s="701"/>
      <c r="O520" s="701"/>
      <c r="P520" s="723"/>
      <c r="Q520" s="702"/>
    </row>
    <row r="521" spans="1:17" ht="14.4" customHeight="1" x14ac:dyDescent="0.3">
      <c r="A521" s="696" t="s">
        <v>505</v>
      </c>
      <c r="B521" s="697" t="s">
        <v>2707</v>
      </c>
      <c r="C521" s="697" t="s">
        <v>3294</v>
      </c>
      <c r="D521" s="697" t="s">
        <v>3590</v>
      </c>
      <c r="E521" s="697" t="s">
        <v>3583</v>
      </c>
      <c r="F521" s="701"/>
      <c r="G521" s="701"/>
      <c r="H521" s="701"/>
      <c r="I521" s="701"/>
      <c r="J521" s="701">
        <v>1</v>
      </c>
      <c r="K521" s="701">
        <v>417.65</v>
      </c>
      <c r="L521" s="701">
        <v>1</v>
      </c>
      <c r="M521" s="701">
        <v>417.65</v>
      </c>
      <c r="N521" s="701"/>
      <c r="O521" s="701"/>
      <c r="P521" s="723"/>
      <c r="Q521" s="702"/>
    </row>
    <row r="522" spans="1:17" ht="14.4" customHeight="1" x14ac:dyDescent="0.3">
      <c r="A522" s="696" t="s">
        <v>505</v>
      </c>
      <c r="B522" s="697" t="s">
        <v>2707</v>
      </c>
      <c r="C522" s="697" t="s">
        <v>3294</v>
      </c>
      <c r="D522" s="697" t="s">
        <v>3591</v>
      </c>
      <c r="E522" s="697" t="s">
        <v>3583</v>
      </c>
      <c r="F522" s="701">
        <v>1</v>
      </c>
      <c r="G522" s="701">
        <v>519.22</v>
      </c>
      <c r="H522" s="701">
        <v>7.1428571428571438E-2</v>
      </c>
      <c r="I522" s="701">
        <v>519.22</v>
      </c>
      <c r="J522" s="701">
        <v>14</v>
      </c>
      <c r="K522" s="701">
        <v>7269.08</v>
      </c>
      <c r="L522" s="701">
        <v>1</v>
      </c>
      <c r="M522" s="701">
        <v>519.22</v>
      </c>
      <c r="N522" s="701"/>
      <c r="O522" s="701"/>
      <c r="P522" s="723"/>
      <c r="Q522" s="702"/>
    </row>
    <row r="523" spans="1:17" ht="14.4" customHeight="1" x14ac:dyDescent="0.3">
      <c r="A523" s="696" t="s">
        <v>505</v>
      </c>
      <c r="B523" s="697" t="s">
        <v>2707</v>
      </c>
      <c r="C523" s="697" t="s">
        <v>3294</v>
      </c>
      <c r="D523" s="697" t="s">
        <v>3592</v>
      </c>
      <c r="E523" s="697" t="s">
        <v>3593</v>
      </c>
      <c r="F523" s="701">
        <v>6</v>
      </c>
      <c r="G523" s="701">
        <v>3378</v>
      </c>
      <c r="H523" s="701">
        <v>0.8571428571428571</v>
      </c>
      <c r="I523" s="701">
        <v>563</v>
      </c>
      <c r="J523" s="701">
        <v>7</v>
      </c>
      <c r="K523" s="701">
        <v>3941</v>
      </c>
      <c r="L523" s="701">
        <v>1</v>
      </c>
      <c r="M523" s="701">
        <v>563</v>
      </c>
      <c r="N523" s="701">
        <v>22</v>
      </c>
      <c r="O523" s="701">
        <v>12386</v>
      </c>
      <c r="P523" s="723">
        <v>3.1428571428571428</v>
      </c>
      <c r="Q523" s="702">
        <v>563</v>
      </c>
    </row>
    <row r="524" spans="1:17" ht="14.4" customHeight="1" x14ac:dyDescent="0.3">
      <c r="A524" s="696" t="s">
        <v>505</v>
      </c>
      <c r="B524" s="697" t="s">
        <v>2707</v>
      </c>
      <c r="C524" s="697" t="s">
        <v>3294</v>
      </c>
      <c r="D524" s="697" t="s">
        <v>3594</v>
      </c>
      <c r="E524" s="697" t="s">
        <v>3595</v>
      </c>
      <c r="F524" s="701"/>
      <c r="G524" s="701"/>
      <c r="H524" s="701"/>
      <c r="I524" s="701"/>
      <c r="J524" s="701"/>
      <c r="K524" s="701"/>
      <c r="L524" s="701"/>
      <c r="M524" s="701"/>
      <c r="N524" s="701">
        <v>1</v>
      </c>
      <c r="O524" s="701">
        <v>699.55</v>
      </c>
      <c r="P524" s="723"/>
      <c r="Q524" s="702">
        <v>699.55</v>
      </c>
    </row>
    <row r="525" spans="1:17" ht="14.4" customHeight="1" x14ac:dyDescent="0.3">
      <c r="A525" s="696" t="s">
        <v>505</v>
      </c>
      <c r="B525" s="697" t="s">
        <v>2707</v>
      </c>
      <c r="C525" s="697" t="s">
        <v>3294</v>
      </c>
      <c r="D525" s="697" t="s">
        <v>3596</v>
      </c>
      <c r="E525" s="697" t="s">
        <v>3597</v>
      </c>
      <c r="F525" s="701"/>
      <c r="G525" s="701"/>
      <c r="H525" s="701"/>
      <c r="I525" s="701"/>
      <c r="J525" s="701"/>
      <c r="K525" s="701"/>
      <c r="L525" s="701"/>
      <c r="M525" s="701"/>
      <c r="N525" s="701">
        <v>1</v>
      </c>
      <c r="O525" s="701">
        <v>10188.49</v>
      </c>
      <c r="P525" s="723"/>
      <c r="Q525" s="702">
        <v>10188.49</v>
      </c>
    </row>
    <row r="526" spans="1:17" ht="14.4" customHeight="1" x14ac:dyDescent="0.3">
      <c r="A526" s="696" t="s">
        <v>505</v>
      </c>
      <c r="B526" s="697" t="s">
        <v>2707</v>
      </c>
      <c r="C526" s="697" t="s">
        <v>3294</v>
      </c>
      <c r="D526" s="697" t="s">
        <v>3598</v>
      </c>
      <c r="E526" s="697" t="s">
        <v>3599</v>
      </c>
      <c r="F526" s="701">
        <v>1</v>
      </c>
      <c r="G526" s="701">
        <v>3416</v>
      </c>
      <c r="H526" s="701"/>
      <c r="I526" s="701">
        <v>3416</v>
      </c>
      <c r="J526" s="701"/>
      <c r="K526" s="701"/>
      <c r="L526" s="701"/>
      <c r="M526" s="701"/>
      <c r="N526" s="701"/>
      <c r="O526" s="701"/>
      <c r="P526" s="723"/>
      <c r="Q526" s="702"/>
    </row>
    <row r="527" spans="1:17" ht="14.4" customHeight="1" x14ac:dyDescent="0.3">
      <c r="A527" s="696" t="s">
        <v>505</v>
      </c>
      <c r="B527" s="697" t="s">
        <v>2707</v>
      </c>
      <c r="C527" s="697" t="s">
        <v>3294</v>
      </c>
      <c r="D527" s="697" t="s">
        <v>3600</v>
      </c>
      <c r="E527" s="697" t="s">
        <v>3601</v>
      </c>
      <c r="F527" s="701">
        <v>2</v>
      </c>
      <c r="G527" s="701">
        <v>3744.4</v>
      </c>
      <c r="H527" s="701"/>
      <c r="I527" s="701">
        <v>1872.2</v>
      </c>
      <c r="J527" s="701"/>
      <c r="K527" s="701"/>
      <c r="L527" s="701"/>
      <c r="M527" s="701"/>
      <c r="N527" s="701">
        <v>1</v>
      </c>
      <c r="O527" s="701">
        <v>1698.82</v>
      </c>
      <c r="P527" s="723"/>
      <c r="Q527" s="702">
        <v>1698.82</v>
      </c>
    </row>
    <row r="528" spans="1:17" ht="14.4" customHeight="1" x14ac:dyDescent="0.3">
      <c r="A528" s="696" t="s">
        <v>505</v>
      </c>
      <c r="B528" s="697" t="s">
        <v>2707</v>
      </c>
      <c r="C528" s="697" t="s">
        <v>3294</v>
      </c>
      <c r="D528" s="697" t="s">
        <v>3602</v>
      </c>
      <c r="E528" s="697" t="s">
        <v>3603</v>
      </c>
      <c r="F528" s="701"/>
      <c r="G528" s="701"/>
      <c r="H528" s="701"/>
      <c r="I528" s="701"/>
      <c r="J528" s="701">
        <v>1</v>
      </c>
      <c r="K528" s="701">
        <v>7868.61</v>
      </c>
      <c r="L528" s="701">
        <v>1</v>
      </c>
      <c r="M528" s="701">
        <v>7868.61</v>
      </c>
      <c r="N528" s="701"/>
      <c r="O528" s="701"/>
      <c r="P528" s="723"/>
      <c r="Q528" s="702"/>
    </row>
    <row r="529" spans="1:17" ht="14.4" customHeight="1" x14ac:dyDescent="0.3">
      <c r="A529" s="696" t="s">
        <v>505</v>
      </c>
      <c r="B529" s="697" t="s">
        <v>2707</v>
      </c>
      <c r="C529" s="697" t="s">
        <v>3294</v>
      </c>
      <c r="D529" s="697" t="s">
        <v>3604</v>
      </c>
      <c r="E529" s="697" t="s">
        <v>3542</v>
      </c>
      <c r="F529" s="701"/>
      <c r="G529" s="701"/>
      <c r="H529" s="701"/>
      <c r="I529" s="701"/>
      <c r="J529" s="701">
        <v>1</v>
      </c>
      <c r="K529" s="701">
        <v>1158.6500000000001</v>
      </c>
      <c r="L529" s="701">
        <v>1</v>
      </c>
      <c r="M529" s="701">
        <v>1158.6500000000001</v>
      </c>
      <c r="N529" s="701"/>
      <c r="O529" s="701"/>
      <c r="P529" s="723"/>
      <c r="Q529" s="702"/>
    </row>
    <row r="530" spans="1:17" ht="14.4" customHeight="1" x14ac:dyDescent="0.3">
      <c r="A530" s="696" t="s">
        <v>505</v>
      </c>
      <c r="B530" s="697" t="s">
        <v>2707</v>
      </c>
      <c r="C530" s="697" t="s">
        <v>3294</v>
      </c>
      <c r="D530" s="697" t="s">
        <v>3605</v>
      </c>
      <c r="E530" s="697" t="s">
        <v>3606</v>
      </c>
      <c r="F530" s="701"/>
      <c r="G530" s="701"/>
      <c r="H530" s="701"/>
      <c r="I530" s="701"/>
      <c r="J530" s="701">
        <v>1</v>
      </c>
      <c r="K530" s="701">
        <v>937.91</v>
      </c>
      <c r="L530" s="701">
        <v>1</v>
      </c>
      <c r="M530" s="701">
        <v>937.91</v>
      </c>
      <c r="N530" s="701"/>
      <c r="O530" s="701"/>
      <c r="P530" s="723"/>
      <c r="Q530" s="702"/>
    </row>
    <row r="531" spans="1:17" ht="14.4" customHeight="1" x14ac:dyDescent="0.3">
      <c r="A531" s="696" t="s">
        <v>505</v>
      </c>
      <c r="B531" s="697" t="s">
        <v>2707</v>
      </c>
      <c r="C531" s="697" t="s">
        <v>3294</v>
      </c>
      <c r="D531" s="697" t="s">
        <v>3607</v>
      </c>
      <c r="E531" s="697" t="s">
        <v>3608</v>
      </c>
      <c r="F531" s="701"/>
      <c r="G531" s="701"/>
      <c r="H531" s="701"/>
      <c r="I531" s="701"/>
      <c r="J531" s="701"/>
      <c r="K531" s="701"/>
      <c r="L531" s="701"/>
      <c r="M531" s="701"/>
      <c r="N531" s="701">
        <v>1</v>
      </c>
      <c r="O531" s="701">
        <v>226.45</v>
      </c>
      <c r="P531" s="723"/>
      <c r="Q531" s="702">
        <v>226.45</v>
      </c>
    </row>
    <row r="532" spans="1:17" ht="14.4" customHeight="1" x14ac:dyDescent="0.3">
      <c r="A532" s="696" t="s">
        <v>505</v>
      </c>
      <c r="B532" s="697" t="s">
        <v>2707</v>
      </c>
      <c r="C532" s="697" t="s">
        <v>3294</v>
      </c>
      <c r="D532" s="697" t="s">
        <v>3609</v>
      </c>
      <c r="E532" s="697" t="s">
        <v>3610</v>
      </c>
      <c r="F532" s="701">
        <v>1</v>
      </c>
      <c r="G532" s="701">
        <v>5486</v>
      </c>
      <c r="H532" s="701"/>
      <c r="I532" s="701">
        <v>5486</v>
      </c>
      <c r="J532" s="701"/>
      <c r="K532" s="701"/>
      <c r="L532" s="701"/>
      <c r="M532" s="701"/>
      <c r="N532" s="701"/>
      <c r="O532" s="701"/>
      <c r="P532" s="723"/>
      <c r="Q532" s="702"/>
    </row>
    <row r="533" spans="1:17" ht="14.4" customHeight="1" x14ac:dyDescent="0.3">
      <c r="A533" s="696" t="s">
        <v>505</v>
      </c>
      <c r="B533" s="697" t="s">
        <v>2707</v>
      </c>
      <c r="C533" s="697" t="s">
        <v>3294</v>
      </c>
      <c r="D533" s="697" t="s">
        <v>3611</v>
      </c>
      <c r="E533" s="697" t="s">
        <v>3612</v>
      </c>
      <c r="F533" s="701"/>
      <c r="G533" s="701"/>
      <c r="H533" s="701"/>
      <c r="I533" s="701"/>
      <c r="J533" s="701">
        <v>1</v>
      </c>
      <c r="K533" s="701">
        <v>466.47</v>
      </c>
      <c r="L533" s="701">
        <v>1</v>
      </c>
      <c r="M533" s="701">
        <v>466.47</v>
      </c>
      <c r="N533" s="701"/>
      <c r="O533" s="701"/>
      <c r="P533" s="723"/>
      <c r="Q533" s="702"/>
    </row>
    <row r="534" spans="1:17" ht="14.4" customHeight="1" x14ac:dyDescent="0.3">
      <c r="A534" s="696" t="s">
        <v>505</v>
      </c>
      <c r="B534" s="697" t="s">
        <v>2707</v>
      </c>
      <c r="C534" s="697" t="s">
        <v>3294</v>
      </c>
      <c r="D534" s="697" t="s">
        <v>3613</v>
      </c>
      <c r="E534" s="697" t="s">
        <v>3409</v>
      </c>
      <c r="F534" s="701"/>
      <c r="G534" s="701"/>
      <c r="H534" s="701"/>
      <c r="I534" s="701"/>
      <c r="J534" s="701">
        <v>2</v>
      </c>
      <c r="K534" s="701">
        <v>1365.92</v>
      </c>
      <c r="L534" s="701">
        <v>1</v>
      </c>
      <c r="M534" s="701">
        <v>682.96</v>
      </c>
      <c r="N534" s="701"/>
      <c r="O534" s="701"/>
      <c r="P534" s="723"/>
      <c r="Q534" s="702"/>
    </row>
    <row r="535" spans="1:17" ht="14.4" customHeight="1" x14ac:dyDescent="0.3">
      <c r="A535" s="696" t="s">
        <v>505</v>
      </c>
      <c r="B535" s="697" t="s">
        <v>2707</v>
      </c>
      <c r="C535" s="697" t="s">
        <v>3294</v>
      </c>
      <c r="D535" s="697" t="s">
        <v>3614</v>
      </c>
      <c r="E535" s="697" t="s">
        <v>3615</v>
      </c>
      <c r="F535" s="701"/>
      <c r="G535" s="701"/>
      <c r="H535" s="701"/>
      <c r="I535" s="701"/>
      <c r="J535" s="701">
        <v>1</v>
      </c>
      <c r="K535" s="701">
        <v>1212.55</v>
      </c>
      <c r="L535" s="701">
        <v>1</v>
      </c>
      <c r="M535" s="701">
        <v>1212.55</v>
      </c>
      <c r="N535" s="701">
        <v>6</v>
      </c>
      <c r="O535" s="701">
        <v>7275.2999999999993</v>
      </c>
      <c r="P535" s="723">
        <v>6</v>
      </c>
      <c r="Q535" s="702">
        <v>1212.55</v>
      </c>
    </row>
    <row r="536" spans="1:17" ht="14.4" customHeight="1" x14ac:dyDescent="0.3">
      <c r="A536" s="696" t="s">
        <v>505</v>
      </c>
      <c r="B536" s="697" t="s">
        <v>2707</v>
      </c>
      <c r="C536" s="697" t="s">
        <v>3294</v>
      </c>
      <c r="D536" s="697" t="s">
        <v>3616</v>
      </c>
      <c r="E536" s="697" t="s">
        <v>3617</v>
      </c>
      <c r="F536" s="701"/>
      <c r="G536" s="701"/>
      <c r="H536" s="701"/>
      <c r="I536" s="701"/>
      <c r="J536" s="701"/>
      <c r="K536" s="701"/>
      <c r="L536" s="701"/>
      <c r="M536" s="701"/>
      <c r="N536" s="701">
        <v>1</v>
      </c>
      <c r="O536" s="701">
        <v>7358.18</v>
      </c>
      <c r="P536" s="723"/>
      <c r="Q536" s="702">
        <v>7358.18</v>
      </c>
    </row>
    <row r="537" spans="1:17" ht="14.4" customHeight="1" x14ac:dyDescent="0.3">
      <c r="A537" s="696" t="s">
        <v>505</v>
      </c>
      <c r="B537" s="697" t="s">
        <v>2707</v>
      </c>
      <c r="C537" s="697" t="s">
        <v>3294</v>
      </c>
      <c r="D537" s="697" t="s">
        <v>3618</v>
      </c>
      <c r="E537" s="697" t="s">
        <v>3619</v>
      </c>
      <c r="F537" s="701">
        <v>5</v>
      </c>
      <c r="G537" s="701">
        <v>7150.9000000000005</v>
      </c>
      <c r="H537" s="701">
        <v>0.2</v>
      </c>
      <c r="I537" s="701">
        <v>1430.18</v>
      </c>
      <c r="J537" s="701">
        <v>25</v>
      </c>
      <c r="K537" s="701">
        <v>35754.5</v>
      </c>
      <c r="L537" s="701">
        <v>1</v>
      </c>
      <c r="M537" s="701">
        <v>1430.18</v>
      </c>
      <c r="N537" s="701">
        <v>40</v>
      </c>
      <c r="O537" s="701">
        <v>57207.199999999997</v>
      </c>
      <c r="P537" s="723">
        <v>1.5999999999999999</v>
      </c>
      <c r="Q537" s="702">
        <v>1430.1799999999998</v>
      </c>
    </row>
    <row r="538" spans="1:17" ht="14.4" customHeight="1" x14ac:dyDescent="0.3">
      <c r="A538" s="696" t="s">
        <v>505</v>
      </c>
      <c r="B538" s="697" t="s">
        <v>2707</v>
      </c>
      <c r="C538" s="697" t="s">
        <v>3294</v>
      </c>
      <c r="D538" s="697" t="s">
        <v>3620</v>
      </c>
      <c r="E538" s="697" t="s">
        <v>3305</v>
      </c>
      <c r="F538" s="701">
        <v>1</v>
      </c>
      <c r="G538" s="701">
        <v>139.91</v>
      </c>
      <c r="H538" s="701"/>
      <c r="I538" s="701">
        <v>139.91</v>
      </c>
      <c r="J538" s="701"/>
      <c r="K538" s="701"/>
      <c r="L538" s="701"/>
      <c r="M538" s="701"/>
      <c r="N538" s="701">
        <v>6</v>
      </c>
      <c r="O538" s="701">
        <v>839.46</v>
      </c>
      <c r="P538" s="723"/>
      <c r="Q538" s="702">
        <v>139.91</v>
      </c>
    </row>
    <row r="539" spans="1:17" ht="14.4" customHeight="1" x14ac:dyDescent="0.3">
      <c r="A539" s="696" t="s">
        <v>505</v>
      </c>
      <c r="B539" s="697" t="s">
        <v>2707</v>
      </c>
      <c r="C539" s="697" t="s">
        <v>3294</v>
      </c>
      <c r="D539" s="697" t="s">
        <v>3621</v>
      </c>
      <c r="E539" s="697" t="s">
        <v>3622</v>
      </c>
      <c r="F539" s="701">
        <v>1</v>
      </c>
      <c r="G539" s="701">
        <v>12468.8</v>
      </c>
      <c r="H539" s="701"/>
      <c r="I539" s="701">
        <v>12468.8</v>
      </c>
      <c r="J539" s="701"/>
      <c r="K539" s="701"/>
      <c r="L539" s="701"/>
      <c r="M539" s="701"/>
      <c r="N539" s="701"/>
      <c r="O539" s="701"/>
      <c r="P539" s="723"/>
      <c r="Q539" s="702"/>
    </row>
    <row r="540" spans="1:17" ht="14.4" customHeight="1" x14ac:dyDescent="0.3">
      <c r="A540" s="696" t="s">
        <v>505</v>
      </c>
      <c r="B540" s="697" t="s">
        <v>2707</v>
      </c>
      <c r="C540" s="697" t="s">
        <v>3294</v>
      </c>
      <c r="D540" s="697" t="s">
        <v>3623</v>
      </c>
      <c r="E540" s="697" t="s">
        <v>3624</v>
      </c>
      <c r="F540" s="701">
        <v>2</v>
      </c>
      <c r="G540" s="701">
        <v>2060</v>
      </c>
      <c r="H540" s="701"/>
      <c r="I540" s="701">
        <v>1030</v>
      </c>
      <c r="J540" s="701"/>
      <c r="K540" s="701"/>
      <c r="L540" s="701"/>
      <c r="M540" s="701"/>
      <c r="N540" s="701"/>
      <c r="O540" s="701"/>
      <c r="P540" s="723"/>
      <c r="Q540" s="702"/>
    </row>
    <row r="541" spans="1:17" ht="14.4" customHeight="1" x14ac:dyDescent="0.3">
      <c r="A541" s="696" t="s">
        <v>505</v>
      </c>
      <c r="B541" s="697" t="s">
        <v>2707</v>
      </c>
      <c r="C541" s="697" t="s">
        <v>3294</v>
      </c>
      <c r="D541" s="697" t="s">
        <v>3625</v>
      </c>
      <c r="E541" s="697" t="s">
        <v>3626</v>
      </c>
      <c r="F541" s="701">
        <v>2</v>
      </c>
      <c r="G541" s="701">
        <v>1032</v>
      </c>
      <c r="H541" s="701"/>
      <c r="I541" s="701">
        <v>516</v>
      </c>
      <c r="J541" s="701"/>
      <c r="K541" s="701"/>
      <c r="L541" s="701"/>
      <c r="M541" s="701"/>
      <c r="N541" s="701"/>
      <c r="O541" s="701"/>
      <c r="P541" s="723"/>
      <c r="Q541" s="702"/>
    </row>
    <row r="542" spans="1:17" ht="14.4" customHeight="1" x14ac:dyDescent="0.3">
      <c r="A542" s="696" t="s">
        <v>505</v>
      </c>
      <c r="B542" s="697" t="s">
        <v>2707</v>
      </c>
      <c r="C542" s="697" t="s">
        <v>3294</v>
      </c>
      <c r="D542" s="697" t="s">
        <v>3627</v>
      </c>
      <c r="E542" s="697" t="s">
        <v>3628</v>
      </c>
      <c r="F542" s="701">
        <v>2</v>
      </c>
      <c r="G542" s="701">
        <v>824</v>
      </c>
      <c r="H542" s="701"/>
      <c r="I542" s="701">
        <v>412</v>
      </c>
      <c r="J542" s="701"/>
      <c r="K542" s="701"/>
      <c r="L542" s="701"/>
      <c r="M542" s="701"/>
      <c r="N542" s="701"/>
      <c r="O542" s="701"/>
      <c r="P542" s="723"/>
      <c r="Q542" s="702"/>
    </row>
    <row r="543" spans="1:17" ht="14.4" customHeight="1" x14ac:dyDescent="0.3">
      <c r="A543" s="696" t="s">
        <v>505</v>
      </c>
      <c r="B543" s="697" t="s">
        <v>2707</v>
      </c>
      <c r="C543" s="697" t="s">
        <v>3294</v>
      </c>
      <c r="D543" s="697" t="s">
        <v>3629</v>
      </c>
      <c r="E543" s="697" t="s">
        <v>3630</v>
      </c>
      <c r="F543" s="701">
        <v>2</v>
      </c>
      <c r="G543" s="701">
        <v>16908</v>
      </c>
      <c r="H543" s="701"/>
      <c r="I543" s="701">
        <v>8454</v>
      </c>
      <c r="J543" s="701"/>
      <c r="K543" s="701"/>
      <c r="L543" s="701"/>
      <c r="M543" s="701"/>
      <c r="N543" s="701"/>
      <c r="O543" s="701"/>
      <c r="P543" s="723"/>
      <c r="Q543" s="702"/>
    </row>
    <row r="544" spans="1:17" ht="14.4" customHeight="1" x14ac:dyDescent="0.3">
      <c r="A544" s="696" t="s">
        <v>505</v>
      </c>
      <c r="B544" s="697" t="s">
        <v>2707</v>
      </c>
      <c r="C544" s="697" t="s">
        <v>3294</v>
      </c>
      <c r="D544" s="697" t="s">
        <v>3631</v>
      </c>
      <c r="E544" s="697" t="s">
        <v>3632</v>
      </c>
      <c r="F544" s="701">
        <v>15</v>
      </c>
      <c r="G544" s="701">
        <v>20395.650000000001</v>
      </c>
      <c r="H544" s="701">
        <v>5</v>
      </c>
      <c r="I544" s="701">
        <v>1359.71</v>
      </c>
      <c r="J544" s="701">
        <v>3</v>
      </c>
      <c r="K544" s="701">
        <v>4079.13</v>
      </c>
      <c r="L544" s="701">
        <v>1</v>
      </c>
      <c r="M544" s="701">
        <v>1359.71</v>
      </c>
      <c r="N544" s="701">
        <v>5</v>
      </c>
      <c r="O544" s="701">
        <v>6798.55</v>
      </c>
      <c r="P544" s="723">
        <v>1.6666666666666667</v>
      </c>
      <c r="Q544" s="702">
        <v>1359.71</v>
      </c>
    </row>
    <row r="545" spans="1:17" ht="14.4" customHeight="1" x14ac:dyDescent="0.3">
      <c r="A545" s="696" t="s">
        <v>505</v>
      </c>
      <c r="B545" s="697" t="s">
        <v>2707</v>
      </c>
      <c r="C545" s="697" t="s">
        <v>3294</v>
      </c>
      <c r="D545" s="697" t="s">
        <v>3633</v>
      </c>
      <c r="E545" s="697" t="s">
        <v>3634</v>
      </c>
      <c r="F545" s="701"/>
      <c r="G545" s="701"/>
      <c r="H545" s="701"/>
      <c r="I545" s="701"/>
      <c r="J545" s="701">
        <v>2</v>
      </c>
      <c r="K545" s="701">
        <v>14180.56</v>
      </c>
      <c r="L545" s="701">
        <v>1</v>
      </c>
      <c r="M545" s="701">
        <v>7090.28</v>
      </c>
      <c r="N545" s="701"/>
      <c r="O545" s="701"/>
      <c r="P545" s="723"/>
      <c r="Q545" s="702"/>
    </row>
    <row r="546" spans="1:17" ht="14.4" customHeight="1" x14ac:dyDescent="0.3">
      <c r="A546" s="696" t="s">
        <v>505</v>
      </c>
      <c r="B546" s="697" t="s">
        <v>2707</v>
      </c>
      <c r="C546" s="697" t="s">
        <v>3294</v>
      </c>
      <c r="D546" s="697" t="s">
        <v>3635</v>
      </c>
      <c r="E546" s="697" t="s">
        <v>3636</v>
      </c>
      <c r="F546" s="701">
        <v>2</v>
      </c>
      <c r="G546" s="701">
        <v>37014</v>
      </c>
      <c r="H546" s="701"/>
      <c r="I546" s="701">
        <v>18507</v>
      </c>
      <c r="J546" s="701"/>
      <c r="K546" s="701"/>
      <c r="L546" s="701"/>
      <c r="M546" s="701"/>
      <c r="N546" s="701"/>
      <c r="O546" s="701"/>
      <c r="P546" s="723"/>
      <c r="Q546" s="702"/>
    </row>
    <row r="547" spans="1:17" ht="14.4" customHeight="1" x14ac:dyDescent="0.3">
      <c r="A547" s="696" t="s">
        <v>505</v>
      </c>
      <c r="B547" s="697" t="s">
        <v>2707</v>
      </c>
      <c r="C547" s="697" t="s">
        <v>3294</v>
      </c>
      <c r="D547" s="697" t="s">
        <v>3637</v>
      </c>
      <c r="E547" s="697" t="s">
        <v>3409</v>
      </c>
      <c r="F547" s="701"/>
      <c r="G547" s="701"/>
      <c r="H547" s="701"/>
      <c r="I547" s="701"/>
      <c r="J547" s="701">
        <v>1</v>
      </c>
      <c r="K547" s="701">
        <v>662.24</v>
      </c>
      <c r="L547" s="701">
        <v>1</v>
      </c>
      <c r="M547" s="701">
        <v>662.24</v>
      </c>
      <c r="N547" s="701"/>
      <c r="O547" s="701"/>
      <c r="P547" s="723"/>
      <c r="Q547" s="702"/>
    </row>
    <row r="548" spans="1:17" ht="14.4" customHeight="1" x14ac:dyDescent="0.3">
      <c r="A548" s="696" t="s">
        <v>505</v>
      </c>
      <c r="B548" s="697" t="s">
        <v>2707</v>
      </c>
      <c r="C548" s="697" t="s">
        <v>3294</v>
      </c>
      <c r="D548" s="697" t="s">
        <v>3638</v>
      </c>
      <c r="E548" s="697" t="s">
        <v>3639</v>
      </c>
      <c r="F548" s="701">
        <v>1</v>
      </c>
      <c r="G548" s="701">
        <v>10077.6</v>
      </c>
      <c r="H548" s="701"/>
      <c r="I548" s="701">
        <v>10077.6</v>
      </c>
      <c r="J548" s="701"/>
      <c r="K548" s="701"/>
      <c r="L548" s="701"/>
      <c r="M548" s="701"/>
      <c r="N548" s="701"/>
      <c r="O548" s="701"/>
      <c r="P548" s="723"/>
      <c r="Q548" s="702"/>
    </row>
    <row r="549" spans="1:17" ht="14.4" customHeight="1" x14ac:dyDescent="0.3">
      <c r="A549" s="696" t="s">
        <v>505</v>
      </c>
      <c r="B549" s="697" t="s">
        <v>2707</v>
      </c>
      <c r="C549" s="697" t="s">
        <v>3294</v>
      </c>
      <c r="D549" s="697" t="s">
        <v>3640</v>
      </c>
      <c r="E549" s="697" t="s">
        <v>3641</v>
      </c>
      <c r="F549" s="701">
        <v>15</v>
      </c>
      <c r="G549" s="701">
        <v>16136.25</v>
      </c>
      <c r="H549" s="701">
        <v>0.66964285714285721</v>
      </c>
      <c r="I549" s="701">
        <v>1075.75</v>
      </c>
      <c r="J549" s="701">
        <v>22.4</v>
      </c>
      <c r="K549" s="701">
        <v>24096.799999999999</v>
      </c>
      <c r="L549" s="701">
        <v>1</v>
      </c>
      <c r="M549" s="701">
        <v>1075.75</v>
      </c>
      <c r="N549" s="701">
        <v>13</v>
      </c>
      <c r="O549" s="701">
        <v>13984.75</v>
      </c>
      <c r="P549" s="723">
        <v>0.5803571428571429</v>
      </c>
      <c r="Q549" s="702">
        <v>1075.75</v>
      </c>
    </row>
    <row r="550" spans="1:17" ht="14.4" customHeight="1" x14ac:dyDescent="0.3">
      <c r="A550" s="696" t="s">
        <v>505</v>
      </c>
      <c r="B550" s="697" t="s">
        <v>2707</v>
      </c>
      <c r="C550" s="697" t="s">
        <v>3294</v>
      </c>
      <c r="D550" s="697" t="s">
        <v>3642</v>
      </c>
      <c r="E550" s="697" t="s">
        <v>3643</v>
      </c>
      <c r="F550" s="701">
        <v>6</v>
      </c>
      <c r="G550" s="701">
        <v>4586.3999999999996</v>
      </c>
      <c r="H550" s="701">
        <v>0.75</v>
      </c>
      <c r="I550" s="701">
        <v>764.4</v>
      </c>
      <c r="J550" s="701">
        <v>8</v>
      </c>
      <c r="K550" s="701">
        <v>6115.2</v>
      </c>
      <c r="L550" s="701">
        <v>1</v>
      </c>
      <c r="M550" s="701">
        <v>764.4</v>
      </c>
      <c r="N550" s="701">
        <v>10</v>
      </c>
      <c r="O550" s="701">
        <v>7644</v>
      </c>
      <c r="P550" s="723">
        <v>1.25</v>
      </c>
      <c r="Q550" s="702">
        <v>764.4</v>
      </c>
    </row>
    <row r="551" spans="1:17" ht="14.4" customHeight="1" x14ac:dyDescent="0.3">
      <c r="A551" s="696" t="s">
        <v>505</v>
      </c>
      <c r="B551" s="697" t="s">
        <v>2707</v>
      </c>
      <c r="C551" s="697" t="s">
        <v>3294</v>
      </c>
      <c r="D551" s="697" t="s">
        <v>3644</v>
      </c>
      <c r="E551" s="697" t="s">
        <v>3645</v>
      </c>
      <c r="F551" s="701">
        <v>31</v>
      </c>
      <c r="G551" s="701">
        <v>50118.630000000005</v>
      </c>
      <c r="H551" s="701">
        <v>1.1923076923076925</v>
      </c>
      <c r="I551" s="701">
        <v>1616.7300000000002</v>
      </c>
      <c r="J551" s="701">
        <v>26</v>
      </c>
      <c r="K551" s="701">
        <v>42034.979999999996</v>
      </c>
      <c r="L551" s="701">
        <v>1</v>
      </c>
      <c r="M551" s="701">
        <v>1616.7299999999998</v>
      </c>
      <c r="N551" s="701">
        <v>42</v>
      </c>
      <c r="O551" s="701">
        <v>67902.66</v>
      </c>
      <c r="P551" s="723">
        <v>1.6153846153846156</v>
      </c>
      <c r="Q551" s="702">
        <v>1616.73</v>
      </c>
    </row>
    <row r="552" spans="1:17" ht="14.4" customHeight="1" x14ac:dyDescent="0.3">
      <c r="A552" s="696" t="s">
        <v>505</v>
      </c>
      <c r="B552" s="697" t="s">
        <v>2707</v>
      </c>
      <c r="C552" s="697" t="s">
        <v>3294</v>
      </c>
      <c r="D552" s="697" t="s">
        <v>3646</v>
      </c>
      <c r="E552" s="697" t="s">
        <v>3647</v>
      </c>
      <c r="F552" s="701">
        <v>5</v>
      </c>
      <c r="G552" s="701">
        <v>1243.6500000000001</v>
      </c>
      <c r="H552" s="701">
        <v>5.0000000000000009</v>
      </c>
      <c r="I552" s="701">
        <v>248.73000000000002</v>
      </c>
      <c r="J552" s="701">
        <v>1</v>
      </c>
      <c r="K552" s="701">
        <v>248.73</v>
      </c>
      <c r="L552" s="701">
        <v>1</v>
      </c>
      <c r="M552" s="701">
        <v>248.73</v>
      </c>
      <c r="N552" s="701"/>
      <c r="O552" s="701"/>
      <c r="P552" s="723"/>
      <c r="Q552" s="702"/>
    </row>
    <row r="553" spans="1:17" ht="14.4" customHeight="1" x14ac:dyDescent="0.3">
      <c r="A553" s="696" t="s">
        <v>505</v>
      </c>
      <c r="B553" s="697" t="s">
        <v>2707</v>
      </c>
      <c r="C553" s="697" t="s">
        <v>3294</v>
      </c>
      <c r="D553" s="697" t="s">
        <v>3648</v>
      </c>
      <c r="E553" s="697" t="s">
        <v>3649</v>
      </c>
      <c r="F553" s="701">
        <v>2</v>
      </c>
      <c r="G553" s="701">
        <v>2553.6</v>
      </c>
      <c r="H553" s="701">
        <v>0.66666666666666663</v>
      </c>
      <c r="I553" s="701">
        <v>1276.8</v>
      </c>
      <c r="J553" s="701">
        <v>3</v>
      </c>
      <c r="K553" s="701">
        <v>3830.4</v>
      </c>
      <c r="L553" s="701">
        <v>1</v>
      </c>
      <c r="M553" s="701">
        <v>1276.8</v>
      </c>
      <c r="N553" s="701"/>
      <c r="O553" s="701"/>
      <c r="P553" s="723"/>
      <c r="Q553" s="702"/>
    </row>
    <row r="554" spans="1:17" ht="14.4" customHeight="1" x14ac:dyDescent="0.3">
      <c r="A554" s="696" t="s">
        <v>505</v>
      </c>
      <c r="B554" s="697" t="s">
        <v>2707</v>
      </c>
      <c r="C554" s="697" t="s">
        <v>3294</v>
      </c>
      <c r="D554" s="697" t="s">
        <v>3650</v>
      </c>
      <c r="E554" s="697" t="s">
        <v>3651</v>
      </c>
      <c r="F554" s="701">
        <v>10</v>
      </c>
      <c r="G554" s="701">
        <v>889</v>
      </c>
      <c r="H554" s="701">
        <v>5</v>
      </c>
      <c r="I554" s="701">
        <v>88.9</v>
      </c>
      <c r="J554" s="701">
        <v>2</v>
      </c>
      <c r="K554" s="701">
        <v>177.8</v>
      </c>
      <c r="L554" s="701">
        <v>1</v>
      </c>
      <c r="M554" s="701">
        <v>88.9</v>
      </c>
      <c r="N554" s="701">
        <v>18</v>
      </c>
      <c r="O554" s="701">
        <v>1600.2</v>
      </c>
      <c r="P554" s="723">
        <v>9</v>
      </c>
      <c r="Q554" s="702">
        <v>88.9</v>
      </c>
    </row>
    <row r="555" spans="1:17" ht="14.4" customHeight="1" x14ac:dyDescent="0.3">
      <c r="A555" s="696" t="s">
        <v>505</v>
      </c>
      <c r="B555" s="697" t="s">
        <v>2707</v>
      </c>
      <c r="C555" s="697" t="s">
        <v>3294</v>
      </c>
      <c r="D555" s="697" t="s">
        <v>3652</v>
      </c>
      <c r="E555" s="697" t="s">
        <v>3653</v>
      </c>
      <c r="F555" s="701"/>
      <c r="G555" s="701"/>
      <c r="H555" s="701"/>
      <c r="I555" s="701"/>
      <c r="J555" s="701">
        <v>4</v>
      </c>
      <c r="K555" s="701">
        <v>73140</v>
      </c>
      <c r="L555" s="701">
        <v>1</v>
      </c>
      <c r="M555" s="701">
        <v>18285</v>
      </c>
      <c r="N555" s="701"/>
      <c r="O555" s="701"/>
      <c r="P555" s="723"/>
      <c r="Q555" s="702"/>
    </row>
    <row r="556" spans="1:17" ht="14.4" customHeight="1" x14ac:dyDescent="0.3">
      <c r="A556" s="696" t="s">
        <v>505</v>
      </c>
      <c r="B556" s="697" t="s">
        <v>2707</v>
      </c>
      <c r="C556" s="697" t="s">
        <v>3294</v>
      </c>
      <c r="D556" s="697" t="s">
        <v>3654</v>
      </c>
      <c r="E556" s="697" t="s">
        <v>3411</v>
      </c>
      <c r="F556" s="701"/>
      <c r="G556" s="701"/>
      <c r="H556" s="701"/>
      <c r="I556" s="701"/>
      <c r="J556" s="701">
        <v>1</v>
      </c>
      <c r="K556" s="701">
        <v>19400.72</v>
      </c>
      <c r="L556" s="701">
        <v>1</v>
      </c>
      <c r="M556" s="701">
        <v>19400.72</v>
      </c>
      <c r="N556" s="701"/>
      <c r="O556" s="701"/>
      <c r="P556" s="723"/>
      <c r="Q556" s="702"/>
    </row>
    <row r="557" spans="1:17" ht="14.4" customHeight="1" x14ac:dyDescent="0.3">
      <c r="A557" s="696" t="s">
        <v>505</v>
      </c>
      <c r="B557" s="697" t="s">
        <v>2707</v>
      </c>
      <c r="C557" s="697" t="s">
        <v>3294</v>
      </c>
      <c r="D557" s="697" t="s">
        <v>3655</v>
      </c>
      <c r="E557" s="697" t="s">
        <v>3656</v>
      </c>
      <c r="F557" s="701">
        <v>4.2</v>
      </c>
      <c r="G557" s="701">
        <v>281.39999999999998</v>
      </c>
      <c r="H557" s="701">
        <v>2.8</v>
      </c>
      <c r="I557" s="701">
        <v>66.999999999999986</v>
      </c>
      <c r="J557" s="701">
        <v>1.5</v>
      </c>
      <c r="K557" s="701">
        <v>100.5</v>
      </c>
      <c r="L557" s="701">
        <v>1</v>
      </c>
      <c r="M557" s="701">
        <v>67</v>
      </c>
      <c r="N557" s="701">
        <v>1.5</v>
      </c>
      <c r="O557" s="701">
        <v>100.5</v>
      </c>
      <c r="P557" s="723">
        <v>1</v>
      </c>
      <c r="Q557" s="702">
        <v>67</v>
      </c>
    </row>
    <row r="558" spans="1:17" ht="14.4" customHeight="1" x14ac:dyDescent="0.3">
      <c r="A558" s="696" t="s">
        <v>505</v>
      </c>
      <c r="B558" s="697" t="s">
        <v>2707</v>
      </c>
      <c r="C558" s="697" t="s">
        <v>3294</v>
      </c>
      <c r="D558" s="697" t="s">
        <v>3657</v>
      </c>
      <c r="E558" s="697" t="s">
        <v>3658</v>
      </c>
      <c r="F558" s="701">
        <v>6</v>
      </c>
      <c r="G558" s="701">
        <v>32777.879999999997</v>
      </c>
      <c r="H558" s="701">
        <v>2</v>
      </c>
      <c r="I558" s="701">
        <v>5462.98</v>
      </c>
      <c r="J558" s="701">
        <v>3</v>
      </c>
      <c r="K558" s="701">
        <v>16388.939999999999</v>
      </c>
      <c r="L558" s="701">
        <v>1</v>
      </c>
      <c r="M558" s="701">
        <v>5462.98</v>
      </c>
      <c r="N558" s="701"/>
      <c r="O558" s="701"/>
      <c r="P558" s="723"/>
      <c r="Q558" s="702"/>
    </row>
    <row r="559" spans="1:17" ht="14.4" customHeight="1" x14ac:dyDescent="0.3">
      <c r="A559" s="696" t="s">
        <v>505</v>
      </c>
      <c r="B559" s="697" t="s">
        <v>2707</v>
      </c>
      <c r="C559" s="697" t="s">
        <v>3294</v>
      </c>
      <c r="D559" s="697" t="s">
        <v>3659</v>
      </c>
      <c r="E559" s="697" t="s">
        <v>3660</v>
      </c>
      <c r="F559" s="701">
        <v>1</v>
      </c>
      <c r="G559" s="701">
        <v>12262.25</v>
      </c>
      <c r="H559" s="701"/>
      <c r="I559" s="701">
        <v>12262.25</v>
      </c>
      <c r="J559" s="701"/>
      <c r="K559" s="701"/>
      <c r="L559" s="701"/>
      <c r="M559" s="701"/>
      <c r="N559" s="701"/>
      <c r="O559" s="701"/>
      <c r="P559" s="723"/>
      <c r="Q559" s="702"/>
    </row>
    <row r="560" spans="1:17" ht="14.4" customHeight="1" x14ac:dyDescent="0.3">
      <c r="A560" s="696" t="s">
        <v>505</v>
      </c>
      <c r="B560" s="697" t="s">
        <v>2707</v>
      </c>
      <c r="C560" s="697" t="s">
        <v>3294</v>
      </c>
      <c r="D560" s="697" t="s">
        <v>3661</v>
      </c>
      <c r="E560" s="697" t="s">
        <v>3662</v>
      </c>
      <c r="F560" s="701">
        <v>1</v>
      </c>
      <c r="G560" s="701">
        <v>5298.34</v>
      </c>
      <c r="H560" s="701"/>
      <c r="I560" s="701">
        <v>5298.34</v>
      </c>
      <c r="J560" s="701"/>
      <c r="K560" s="701"/>
      <c r="L560" s="701"/>
      <c r="M560" s="701"/>
      <c r="N560" s="701">
        <v>1</v>
      </c>
      <c r="O560" s="701">
        <v>5298.34</v>
      </c>
      <c r="P560" s="723"/>
      <c r="Q560" s="702">
        <v>5298.34</v>
      </c>
    </row>
    <row r="561" spans="1:17" ht="14.4" customHeight="1" x14ac:dyDescent="0.3">
      <c r="A561" s="696" t="s">
        <v>505</v>
      </c>
      <c r="B561" s="697" t="s">
        <v>2707</v>
      </c>
      <c r="C561" s="697" t="s">
        <v>3294</v>
      </c>
      <c r="D561" s="697" t="s">
        <v>3663</v>
      </c>
      <c r="E561" s="697" t="s">
        <v>3664</v>
      </c>
      <c r="F561" s="701"/>
      <c r="G561" s="701"/>
      <c r="H561" s="701"/>
      <c r="I561" s="701"/>
      <c r="J561" s="701">
        <v>5</v>
      </c>
      <c r="K561" s="701">
        <v>29498.7</v>
      </c>
      <c r="L561" s="701">
        <v>1</v>
      </c>
      <c r="M561" s="701">
        <v>5899.74</v>
      </c>
      <c r="N561" s="701"/>
      <c r="O561" s="701"/>
      <c r="P561" s="723"/>
      <c r="Q561" s="702"/>
    </row>
    <row r="562" spans="1:17" ht="14.4" customHeight="1" x14ac:dyDescent="0.3">
      <c r="A562" s="696" t="s">
        <v>505</v>
      </c>
      <c r="B562" s="697" t="s">
        <v>2707</v>
      </c>
      <c r="C562" s="697" t="s">
        <v>3294</v>
      </c>
      <c r="D562" s="697" t="s">
        <v>3665</v>
      </c>
      <c r="E562" s="697"/>
      <c r="F562" s="701">
        <v>1</v>
      </c>
      <c r="G562" s="701">
        <v>521</v>
      </c>
      <c r="H562" s="701"/>
      <c r="I562" s="701">
        <v>521</v>
      </c>
      <c r="J562" s="701"/>
      <c r="K562" s="701"/>
      <c r="L562" s="701"/>
      <c r="M562" s="701"/>
      <c r="N562" s="701"/>
      <c r="O562" s="701"/>
      <c r="P562" s="723"/>
      <c r="Q562" s="702"/>
    </row>
    <row r="563" spans="1:17" ht="14.4" customHeight="1" x14ac:dyDescent="0.3">
      <c r="A563" s="696" t="s">
        <v>505</v>
      </c>
      <c r="B563" s="697" t="s">
        <v>2707</v>
      </c>
      <c r="C563" s="697" t="s">
        <v>3294</v>
      </c>
      <c r="D563" s="697" t="s">
        <v>3666</v>
      </c>
      <c r="E563" s="697" t="s">
        <v>3667</v>
      </c>
      <c r="F563" s="701">
        <v>3</v>
      </c>
      <c r="G563" s="701">
        <v>1415.88</v>
      </c>
      <c r="H563" s="701"/>
      <c r="I563" s="701">
        <v>471.96000000000004</v>
      </c>
      <c r="J563" s="701"/>
      <c r="K563" s="701"/>
      <c r="L563" s="701"/>
      <c r="M563" s="701"/>
      <c r="N563" s="701"/>
      <c r="O563" s="701"/>
      <c r="P563" s="723"/>
      <c r="Q563" s="702"/>
    </row>
    <row r="564" spans="1:17" ht="14.4" customHeight="1" x14ac:dyDescent="0.3">
      <c r="A564" s="696" t="s">
        <v>505</v>
      </c>
      <c r="B564" s="697" t="s">
        <v>2707</v>
      </c>
      <c r="C564" s="697" t="s">
        <v>3294</v>
      </c>
      <c r="D564" s="697" t="s">
        <v>3668</v>
      </c>
      <c r="E564" s="697" t="s">
        <v>3669</v>
      </c>
      <c r="F564" s="701"/>
      <c r="G564" s="701"/>
      <c r="H564" s="701"/>
      <c r="I564" s="701"/>
      <c r="J564" s="701"/>
      <c r="K564" s="701"/>
      <c r="L564" s="701"/>
      <c r="M564" s="701"/>
      <c r="N564" s="701">
        <v>2</v>
      </c>
      <c r="O564" s="701">
        <v>1104</v>
      </c>
      <c r="P564" s="723"/>
      <c r="Q564" s="702">
        <v>552</v>
      </c>
    </row>
    <row r="565" spans="1:17" ht="14.4" customHeight="1" x14ac:dyDescent="0.3">
      <c r="A565" s="696" t="s">
        <v>505</v>
      </c>
      <c r="B565" s="697" t="s">
        <v>2707</v>
      </c>
      <c r="C565" s="697" t="s">
        <v>3294</v>
      </c>
      <c r="D565" s="697" t="s">
        <v>3670</v>
      </c>
      <c r="E565" s="697" t="s">
        <v>3671</v>
      </c>
      <c r="F565" s="701"/>
      <c r="G565" s="701"/>
      <c r="H565" s="701"/>
      <c r="I565" s="701"/>
      <c r="J565" s="701"/>
      <c r="K565" s="701"/>
      <c r="L565" s="701"/>
      <c r="M565" s="701"/>
      <c r="N565" s="701">
        <v>5</v>
      </c>
      <c r="O565" s="701">
        <v>7762.5</v>
      </c>
      <c r="P565" s="723"/>
      <c r="Q565" s="702">
        <v>1552.5</v>
      </c>
    </row>
    <row r="566" spans="1:17" ht="14.4" customHeight="1" x14ac:dyDescent="0.3">
      <c r="A566" s="696" t="s">
        <v>505</v>
      </c>
      <c r="B566" s="697" t="s">
        <v>2707</v>
      </c>
      <c r="C566" s="697" t="s">
        <v>3294</v>
      </c>
      <c r="D566" s="697" t="s">
        <v>3672</v>
      </c>
      <c r="E566" s="697" t="s">
        <v>3671</v>
      </c>
      <c r="F566" s="701"/>
      <c r="G566" s="701"/>
      <c r="H566" s="701"/>
      <c r="I566" s="701"/>
      <c r="J566" s="701"/>
      <c r="K566" s="701"/>
      <c r="L566" s="701"/>
      <c r="M566" s="701"/>
      <c r="N566" s="701">
        <v>5</v>
      </c>
      <c r="O566" s="701">
        <v>25904.65</v>
      </c>
      <c r="P566" s="723"/>
      <c r="Q566" s="702">
        <v>5180.93</v>
      </c>
    </row>
    <row r="567" spans="1:17" ht="14.4" customHeight="1" x14ac:dyDescent="0.3">
      <c r="A567" s="696" t="s">
        <v>505</v>
      </c>
      <c r="B567" s="697" t="s">
        <v>2707</v>
      </c>
      <c r="C567" s="697" t="s">
        <v>3294</v>
      </c>
      <c r="D567" s="697" t="s">
        <v>3673</v>
      </c>
      <c r="E567" s="697" t="s">
        <v>3583</v>
      </c>
      <c r="F567" s="701"/>
      <c r="G567" s="701"/>
      <c r="H567" s="701"/>
      <c r="I567" s="701"/>
      <c r="J567" s="701">
        <v>4</v>
      </c>
      <c r="K567" s="701">
        <v>1140.5999999999999</v>
      </c>
      <c r="L567" s="701">
        <v>1</v>
      </c>
      <c r="M567" s="701">
        <v>285.14999999999998</v>
      </c>
      <c r="N567" s="701">
        <v>8</v>
      </c>
      <c r="O567" s="701">
        <v>2281.1999999999998</v>
      </c>
      <c r="P567" s="723">
        <v>2</v>
      </c>
      <c r="Q567" s="702">
        <v>285.14999999999998</v>
      </c>
    </row>
    <row r="568" spans="1:17" ht="14.4" customHeight="1" x14ac:dyDescent="0.3">
      <c r="A568" s="696" t="s">
        <v>505</v>
      </c>
      <c r="B568" s="697" t="s">
        <v>2707</v>
      </c>
      <c r="C568" s="697" t="s">
        <v>3294</v>
      </c>
      <c r="D568" s="697" t="s">
        <v>3674</v>
      </c>
      <c r="E568" s="697" t="s">
        <v>3671</v>
      </c>
      <c r="F568" s="701"/>
      <c r="G568" s="701"/>
      <c r="H568" s="701"/>
      <c r="I568" s="701"/>
      <c r="J568" s="701"/>
      <c r="K568" s="701"/>
      <c r="L568" s="701"/>
      <c r="M568" s="701"/>
      <c r="N568" s="701">
        <v>2</v>
      </c>
      <c r="O568" s="701">
        <v>11040</v>
      </c>
      <c r="P568" s="723"/>
      <c r="Q568" s="702">
        <v>5520</v>
      </c>
    </row>
    <row r="569" spans="1:17" ht="14.4" customHeight="1" x14ac:dyDescent="0.3">
      <c r="A569" s="696" t="s">
        <v>505</v>
      </c>
      <c r="B569" s="697" t="s">
        <v>2707</v>
      </c>
      <c r="C569" s="697" t="s">
        <v>3294</v>
      </c>
      <c r="D569" s="697" t="s">
        <v>3675</v>
      </c>
      <c r="E569" s="697" t="s">
        <v>3671</v>
      </c>
      <c r="F569" s="701"/>
      <c r="G569" s="701"/>
      <c r="H569" s="701"/>
      <c r="I569" s="701"/>
      <c r="J569" s="701"/>
      <c r="K569" s="701"/>
      <c r="L569" s="701"/>
      <c r="M569" s="701"/>
      <c r="N569" s="701">
        <v>1</v>
      </c>
      <c r="O569" s="701">
        <v>1920.5</v>
      </c>
      <c r="P569" s="723"/>
      <c r="Q569" s="702">
        <v>1920.5</v>
      </c>
    </row>
    <row r="570" spans="1:17" ht="14.4" customHeight="1" x14ac:dyDescent="0.3">
      <c r="A570" s="696" t="s">
        <v>505</v>
      </c>
      <c r="B570" s="697" t="s">
        <v>2707</v>
      </c>
      <c r="C570" s="697" t="s">
        <v>3294</v>
      </c>
      <c r="D570" s="697" t="s">
        <v>3676</v>
      </c>
      <c r="E570" s="697" t="s">
        <v>3677</v>
      </c>
      <c r="F570" s="701"/>
      <c r="G570" s="701"/>
      <c r="H570" s="701"/>
      <c r="I570" s="701"/>
      <c r="J570" s="701"/>
      <c r="K570" s="701"/>
      <c r="L570" s="701"/>
      <c r="M570" s="701"/>
      <c r="N570" s="701">
        <v>2.7</v>
      </c>
      <c r="O570" s="701">
        <v>1607.55</v>
      </c>
      <c r="P570" s="723"/>
      <c r="Q570" s="702">
        <v>595.3888888888888</v>
      </c>
    </row>
    <row r="571" spans="1:17" ht="14.4" customHeight="1" x14ac:dyDescent="0.3">
      <c r="A571" s="696" t="s">
        <v>505</v>
      </c>
      <c r="B571" s="697" t="s">
        <v>2707</v>
      </c>
      <c r="C571" s="697" t="s">
        <v>3294</v>
      </c>
      <c r="D571" s="697" t="s">
        <v>3678</v>
      </c>
      <c r="E571" s="697" t="s">
        <v>3583</v>
      </c>
      <c r="F571" s="701"/>
      <c r="G571" s="701"/>
      <c r="H571" s="701"/>
      <c r="I571" s="701"/>
      <c r="J571" s="701">
        <v>1</v>
      </c>
      <c r="K571" s="701">
        <v>691.04</v>
      </c>
      <c r="L571" s="701">
        <v>1</v>
      </c>
      <c r="M571" s="701">
        <v>691.04</v>
      </c>
      <c r="N571" s="701"/>
      <c r="O571" s="701"/>
      <c r="P571" s="723"/>
      <c r="Q571" s="702"/>
    </row>
    <row r="572" spans="1:17" ht="14.4" customHeight="1" x14ac:dyDescent="0.3">
      <c r="A572" s="696" t="s">
        <v>505</v>
      </c>
      <c r="B572" s="697" t="s">
        <v>2707</v>
      </c>
      <c r="C572" s="697" t="s">
        <v>3294</v>
      </c>
      <c r="D572" s="697" t="s">
        <v>3679</v>
      </c>
      <c r="E572" s="697" t="s">
        <v>3583</v>
      </c>
      <c r="F572" s="701"/>
      <c r="G572" s="701"/>
      <c r="H572" s="701"/>
      <c r="I572" s="701"/>
      <c r="J572" s="701">
        <v>1</v>
      </c>
      <c r="K572" s="701">
        <v>356.58</v>
      </c>
      <c r="L572" s="701">
        <v>1</v>
      </c>
      <c r="M572" s="701">
        <v>356.58</v>
      </c>
      <c r="N572" s="701"/>
      <c r="O572" s="701"/>
      <c r="P572" s="723"/>
      <c r="Q572" s="702"/>
    </row>
    <row r="573" spans="1:17" ht="14.4" customHeight="1" x14ac:dyDescent="0.3">
      <c r="A573" s="696" t="s">
        <v>505</v>
      </c>
      <c r="B573" s="697" t="s">
        <v>2707</v>
      </c>
      <c r="C573" s="697" t="s">
        <v>3294</v>
      </c>
      <c r="D573" s="697" t="s">
        <v>3680</v>
      </c>
      <c r="E573" s="697" t="s">
        <v>3583</v>
      </c>
      <c r="F573" s="701"/>
      <c r="G573" s="701"/>
      <c r="H573" s="701"/>
      <c r="I573" s="701"/>
      <c r="J573" s="701"/>
      <c r="K573" s="701"/>
      <c r="L573" s="701"/>
      <c r="M573" s="701"/>
      <c r="N573" s="701">
        <v>1</v>
      </c>
      <c r="O573" s="701">
        <v>773.84</v>
      </c>
      <c r="P573" s="723"/>
      <c r="Q573" s="702">
        <v>773.84</v>
      </c>
    </row>
    <row r="574" spans="1:17" ht="14.4" customHeight="1" x14ac:dyDescent="0.3">
      <c r="A574" s="696" t="s">
        <v>505</v>
      </c>
      <c r="B574" s="697" t="s">
        <v>2707</v>
      </c>
      <c r="C574" s="697" t="s">
        <v>3294</v>
      </c>
      <c r="D574" s="697" t="s">
        <v>3681</v>
      </c>
      <c r="E574" s="697" t="s">
        <v>3682</v>
      </c>
      <c r="F574" s="701"/>
      <c r="G574" s="701"/>
      <c r="H574" s="701"/>
      <c r="I574" s="701"/>
      <c r="J574" s="701">
        <v>1</v>
      </c>
      <c r="K574" s="701">
        <v>652</v>
      </c>
      <c r="L574" s="701">
        <v>1</v>
      </c>
      <c r="M574" s="701">
        <v>652</v>
      </c>
      <c r="N574" s="701"/>
      <c r="O574" s="701"/>
      <c r="P574" s="723"/>
      <c r="Q574" s="702"/>
    </row>
    <row r="575" spans="1:17" ht="14.4" customHeight="1" x14ac:dyDescent="0.3">
      <c r="A575" s="696" t="s">
        <v>505</v>
      </c>
      <c r="B575" s="697" t="s">
        <v>2707</v>
      </c>
      <c r="C575" s="697" t="s">
        <v>3294</v>
      </c>
      <c r="D575" s="697" t="s">
        <v>3683</v>
      </c>
      <c r="E575" s="697" t="s">
        <v>3684</v>
      </c>
      <c r="F575" s="701"/>
      <c r="G575" s="701"/>
      <c r="H575" s="701"/>
      <c r="I575" s="701"/>
      <c r="J575" s="701">
        <v>1</v>
      </c>
      <c r="K575" s="701">
        <v>2280</v>
      </c>
      <c r="L575" s="701">
        <v>1</v>
      </c>
      <c r="M575" s="701">
        <v>2280</v>
      </c>
      <c r="N575" s="701"/>
      <c r="O575" s="701"/>
      <c r="P575" s="723"/>
      <c r="Q575" s="702"/>
    </row>
    <row r="576" spans="1:17" ht="14.4" customHeight="1" x14ac:dyDescent="0.3">
      <c r="A576" s="696" t="s">
        <v>505</v>
      </c>
      <c r="B576" s="697" t="s">
        <v>2707</v>
      </c>
      <c r="C576" s="697" t="s">
        <v>3294</v>
      </c>
      <c r="D576" s="697" t="s">
        <v>3685</v>
      </c>
      <c r="E576" s="697" t="s">
        <v>3583</v>
      </c>
      <c r="F576" s="701"/>
      <c r="G576" s="701"/>
      <c r="H576" s="701"/>
      <c r="I576" s="701"/>
      <c r="J576" s="701"/>
      <c r="K576" s="701"/>
      <c r="L576" s="701"/>
      <c r="M576" s="701"/>
      <c r="N576" s="701">
        <v>1</v>
      </c>
      <c r="O576" s="701">
        <v>712.86</v>
      </c>
      <c r="P576" s="723"/>
      <c r="Q576" s="702">
        <v>712.86</v>
      </c>
    </row>
    <row r="577" spans="1:17" ht="14.4" customHeight="1" x14ac:dyDescent="0.3">
      <c r="A577" s="696" t="s">
        <v>505</v>
      </c>
      <c r="B577" s="697" t="s">
        <v>2707</v>
      </c>
      <c r="C577" s="697" t="s">
        <v>3294</v>
      </c>
      <c r="D577" s="697" t="s">
        <v>3686</v>
      </c>
      <c r="E577" s="697" t="s">
        <v>3687</v>
      </c>
      <c r="F577" s="701"/>
      <c r="G577" s="701"/>
      <c r="H577" s="701"/>
      <c r="I577" s="701"/>
      <c r="J577" s="701"/>
      <c r="K577" s="701"/>
      <c r="L577" s="701"/>
      <c r="M577" s="701"/>
      <c r="N577" s="701">
        <v>4</v>
      </c>
      <c r="O577" s="701">
        <v>1319.92</v>
      </c>
      <c r="P577" s="723"/>
      <c r="Q577" s="702">
        <v>329.98</v>
      </c>
    </row>
    <row r="578" spans="1:17" ht="14.4" customHeight="1" x14ac:dyDescent="0.3">
      <c r="A578" s="696" t="s">
        <v>505</v>
      </c>
      <c r="B578" s="697" t="s">
        <v>2707</v>
      </c>
      <c r="C578" s="697" t="s">
        <v>3294</v>
      </c>
      <c r="D578" s="697" t="s">
        <v>3688</v>
      </c>
      <c r="E578" s="697" t="s">
        <v>3689</v>
      </c>
      <c r="F578" s="701"/>
      <c r="G578" s="701"/>
      <c r="H578" s="701"/>
      <c r="I578" s="701"/>
      <c r="J578" s="701"/>
      <c r="K578" s="701"/>
      <c r="L578" s="701"/>
      <c r="M578" s="701"/>
      <c r="N578" s="701">
        <v>3</v>
      </c>
      <c r="O578" s="701">
        <v>22143</v>
      </c>
      <c r="P578" s="723"/>
      <c r="Q578" s="702">
        <v>7381</v>
      </c>
    </row>
    <row r="579" spans="1:17" ht="14.4" customHeight="1" x14ac:dyDescent="0.3">
      <c r="A579" s="696" t="s">
        <v>505</v>
      </c>
      <c r="B579" s="697" t="s">
        <v>2707</v>
      </c>
      <c r="C579" s="697" t="s">
        <v>3294</v>
      </c>
      <c r="D579" s="697" t="s">
        <v>3690</v>
      </c>
      <c r="E579" s="697" t="s">
        <v>3691</v>
      </c>
      <c r="F579" s="701"/>
      <c r="G579" s="701"/>
      <c r="H579" s="701"/>
      <c r="I579" s="701"/>
      <c r="J579" s="701"/>
      <c r="K579" s="701"/>
      <c r="L579" s="701"/>
      <c r="M579" s="701"/>
      <c r="N579" s="701">
        <v>3</v>
      </c>
      <c r="O579" s="701">
        <v>2541</v>
      </c>
      <c r="P579" s="723"/>
      <c r="Q579" s="702">
        <v>847</v>
      </c>
    </row>
    <row r="580" spans="1:17" ht="14.4" customHeight="1" x14ac:dyDescent="0.3">
      <c r="A580" s="696" t="s">
        <v>505</v>
      </c>
      <c r="B580" s="697" t="s">
        <v>2707</v>
      </c>
      <c r="C580" s="697" t="s">
        <v>3294</v>
      </c>
      <c r="D580" s="697" t="s">
        <v>3692</v>
      </c>
      <c r="E580" s="697" t="s">
        <v>3693</v>
      </c>
      <c r="F580" s="701"/>
      <c r="G580" s="701"/>
      <c r="H580" s="701"/>
      <c r="I580" s="701"/>
      <c r="J580" s="701"/>
      <c r="K580" s="701"/>
      <c r="L580" s="701"/>
      <c r="M580" s="701"/>
      <c r="N580" s="701">
        <v>1</v>
      </c>
      <c r="O580" s="701">
        <v>312.98</v>
      </c>
      <c r="P580" s="723"/>
      <c r="Q580" s="702">
        <v>312.98</v>
      </c>
    </row>
    <row r="581" spans="1:17" ht="14.4" customHeight="1" x14ac:dyDescent="0.3">
      <c r="A581" s="696" t="s">
        <v>505</v>
      </c>
      <c r="B581" s="697" t="s">
        <v>2707</v>
      </c>
      <c r="C581" s="697" t="s">
        <v>3294</v>
      </c>
      <c r="D581" s="697" t="s">
        <v>3694</v>
      </c>
      <c r="E581" s="697" t="s">
        <v>3695</v>
      </c>
      <c r="F581" s="701"/>
      <c r="G581" s="701"/>
      <c r="H581" s="701"/>
      <c r="I581" s="701"/>
      <c r="J581" s="701"/>
      <c r="K581" s="701"/>
      <c r="L581" s="701"/>
      <c r="M581" s="701"/>
      <c r="N581" s="701">
        <v>1</v>
      </c>
      <c r="O581" s="701">
        <v>1038</v>
      </c>
      <c r="P581" s="723"/>
      <c r="Q581" s="702">
        <v>1038</v>
      </c>
    </row>
    <row r="582" spans="1:17" ht="14.4" customHeight="1" x14ac:dyDescent="0.3">
      <c r="A582" s="696" t="s">
        <v>505</v>
      </c>
      <c r="B582" s="697" t="s">
        <v>2707</v>
      </c>
      <c r="C582" s="697" t="s">
        <v>3294</v>
      </c>
      <c r="D582" s="697" t="s">
        <v>3696</v>
      </c>
      <c r="E582" s="697" t="s">
        <v>3697</v>
      </c>
      <c r="F582" s="701"/>
      <c r="G582" s="701"/>
      <c r="H582" s="701"/>
      <c r="I582" s="701"/>
      <c r="J582" s="701"/>
      <c r="K582" s="701"/>
      <c r="L582" s="701"/>
      <c r="M582" s="701"/>
      <c r="N582" s="701">
        <v>1</v>
      </c>
      <c r="O582" s="701">
        <v>202.09</v>
      </c>
      <c r="P582" s="723"/>
      <c r="Q582" s="702">
        <v>202.09</v>
      </c>
    </row>
    <row r="583" spans="1:17" ht="14.4" customHeight="1" x14ac:dyDescent="0.3">
      <c r="A583" s="696" t="s">
        <v>505</v>
      </c>
      <c r="B583" s="697" t="s">
        <v>2707</v>
      </c>
      <c r="C583" s="697" t="s">
        <v>3294</v>
      </c>
      <c r="D583" s="697" t="s">
        <v>3698</v>
      </c>
      <c r="E583" s="697" t="s">
        <v>3699</v>
      </c>
      <c r="F583" s="701"/>
      <c r="G583" s="701"/>
      <c r="H583" s="701"/>
      <c r="I583" s="701"/>
      <c r="J583" s="701"/>
      <c r="K583" s="701"/>
      <c r="L583" s="701"/>
      <c r="M583" s="701"/>
      <c r="N583" s="701">
        <v>1</v>
      </c>
      <c r="O583" s="701">
        <v>642</v>
      </c>
      <c r="P583" s="723"/>
      <c r="Q583" s="702">
        <v>642</v>
      </c>
    </row>
    <row r="584" spans="1:17" ht="14.4" customHeight="1" x14ac:dyDescent="0.3">
      <c r="A584" s="696" t="s">
        <v>505</v>
      </c>
      <c r="B584" s="697" t="s">
        <v>2707</v>
      </c>
      <c r="C584" s="697" t="s">
        <v>3294</v>
      </c>
      <c r="D584" s="697" t="s">
        <v>3700</v>
      </c>
      <c r="E584" s="697" t="s">
        <v>3701</v>
      </c>
      <c r="F584" s="701">
        <v>2</v>
      </c>
      <c r="G584" s="701">
        <v>1544.4</v>
      </c>
      <c r="H584" s="701"/>
      <c r="I584" s="701">
        <v>772.2</v>
      </c>
      <c r="J584" s="701"/>
      <c r="K584" s="701"/>
      <c r="L584" s="701"/>
      <c r="M584" s="701"/>
      <c r="N584" s="701"/>
      <c r="O584" s="701"/>
      <c r="P584" s="723"/>
      <c r="Q584" s="702"/>
    </row>
    <row r="585" spans="1:17" ht="14.4" customHeight="1" x14ac:dyDescent="0.3">
      <c r="A585" s="696" t="s">
        <v>505</v>
      </c>
      <c r="B585" s="697" t="s">
        <v>2707</v>
      </c>
      <c r="C585" s="697" t="s">
        <v>2708</v>
      </c>
      <c r="D585" s="697" t="s">
        <v>3702</v>
      </c>
      <c r="E585" s="697" t="s">
        <v>3703</v>
      </c>
      <c r="F585" s="701">
        <v>10</v>
      </c>
      <c r="G585" s="701">
        <v>319660</v>
      </c>
      <c r="H585" s="701">
        <v>2.5</v>
      </c>
      <c r="I585" s="701">
        <v>31966</v>
      </c>
      <c r="J585" s="701">
        <v>4</v>
      </c>
      <c r="K585" s="701">
        <v>127864</v>
      </c>
      <c r="L585" s="701">
        <v>1</v>
      </c>
      <c r="M585" s="701">
        <v>31966</v>
      </c>
      <c r="N585" s="701">
        <v>14</v>
      </c>
      <c r="O585" s="701">
        <v>447524</v>
      </c>
      <c r="P585" s="723">
        <v>3.5</v>
      </c>
      <c r="Q585" s="702">
        <v>31966</v>
      </c>
    </row>
    <row r="586" spans="1:17" ht="14.4" customHeight="1" x14ac:dyDescent="0.3">
      <c r="A586" s="696" t="s">
        <v>505</v>
      </c>
      <c r="B586" s="697" t="s">
        <v>2707</v>
      </c>
      <c r="C586" s="697" t="s">
        <v>2708</v>
      </c>
      <c r="D586" s="697" t="s">
        <v>3704</v>
      </c>
      <c r="E586" s="697" t="s">
        <v>3705</v>
      </c>
      <c r="F586" s="701">
        <v>3033</v>
      </c>
      <c r="G586" s="701">
        <v>36083601</v>
      </c>
      <c r="H586" s="701">
        <v>0.97024952015355082</v>
      </c>
      <c r="I586" s="701">
        <v>11897</v>
      </c>
      <c r="J586" s="701">
        <v>3126</v>
      </c>
      <c r="K586" s="701">
        <v>37190022</v>
      </c>
      <c r="L586" s="701">
        <v>1</v>
      </c>
      <c r="M586" s="701">
        <v>11897</v>
      </c>
      <c r="N586" s="701">
        <v>3065</v>
      </c>
      <c r="O586" s="701">
        <v>36464305</v>
      </c>
      <c r="P586" s="723">
        <v>0.98048624440179144</v>
      </c>
      <c r="Q586" s="702">
        <v>11897</v>
      </c>
    </row>
    <row r="587" spans="1:17" ht="14.4" customHeight="1" x14ac:dyDescent="0.3">
      <c r="A587" s="696" t="s">
        <v>505</v>
      </c>
      <c r="B587" s="697" t="s">
        <v>2707</v>
      </c>
      <c r="C587" s="697" t="s">
        <v>2708</v>
      </c>
      <c r="D587" s="697" t="s">
        <v>3706</v>
      </c>
      <c r="E587" s="697" t="s">
        <v>3707</v>
      </c>
      <c r="F587" s="701">
        <v>6</v>
      </c>
      <c r="G587" s="701">
        <v>2610</v>
      </c>
      <c r="H587" s="701">
        <v>0.54545454545454541</v>
      </c>
      <c r="I587" s="701">
        <v>435</v>
      </c>
      <c r="J587" s="701">
        <v>11</v>
      </c>
      <c r="K587" s="701">
        <v>4785</v>
      </c>
      <c r="L587" s="701">
        <v>1</v>
      </c>
      <c r="M587" s="701">
        <v>435</v>
      </c>
      <c r="N587" s="701">
        <v>6</v>
      </c>
      <c r="O587" s="701">
        <v>2616</v>
      </c>
      <c r="P587" s="723">
        <v>0.54670846394984329</v>
      </c>
      <c r="Q587" s="702">
        <v>436</v>
      </c>
    </row>
    <row r="588" spans="1:17" ht="14.4" customHeight="1" x14ac:dyDescent="0.3">
      <c r="A588" s="696" t="s">
        <v>505</v>
      </c>
      <c r="B588" s="697" t="s">
        <v>2707</v>
      </c>
      <c r="C588" s="697" t="s">
        <v>2708</v>
      </c>
      <c r="D588" s="697" t="s">
        <v>3706</v>
      </c>
      <c r="E588" s="697" t="s">
        <v>3708</v>
      </c>
      <c r="F588" s="701">
        <v>9</v>
      </c>
      <c r="G588" s="701">
        <v>3915</v>
      </c>
      <c r="H588" s="701"/>
      <c r="I588" s="701">
        <v>435</v>
      </c>
      <c r="J588" s="701"/>
      <c r="K588" s="701"/>
      <c r="L588" s="701"/>
      <c r="M588" s="701"/>
      <c r="N588" s="701">
        <v>8</v>
      </c>
      <c r="O588" s="701">
        <v>3488</v>
      </c>
      <c r="P588" s="723"/>
      <c r="Q588" s="702">
        <v>436</v>
      </c>
    </row>
    <row r="589" spans="1:17" ht="14.4" customHeight="1" x14ac:dyDescent="0.3">
      <c r="A589" s="696" t="s">
        <v>505</v>
      </c>
      <c r="B589" s="697" t="s">
        <v>2707</v>
      </c>
      <c r="C589" s="697" t="s">
        <v>2708</v>
      </c>
      <c r="D589" s="697" t="s">
        <v>3709</v>
      </c>
      <c r="E589" s="697" t="s">
        <v>3710</v>
      </c>
      <c r="F589" s="701">
        <v>1903</v>
      </c>
      <c r="G589" s="701">
        <v>742170</v>
      </c>
      <c r="H589" s="701">
        <v>0.8737373737373737</v>
      </c>
      <c r="I589" s="701">
        <v>390</v>
      </c>
      <c r="J589" s="701">
        <v>2178</v>
      </c>
      <c r="K589" s="701">
        <v>849420</v>
      </c>
      <c r="L589" s="701">
        <v>1</v>
      </c>
      <c r="M589" s="701">
        <v>390</v>
      </c>
      <c r="N589" s="701">
        <v>2271</v>
      </c>
      <c r="O589" s="701">
        <v>887942</v>
      </c>
      <c r="P589" s="723">
        <v>1.0453509453509453</v>
      </c>
      <c r="Q589" s="702">
        <v>390.9916336415676</v>
      </c>
    </row>
    <row r="590" spans="1:17" ht="14.4" customHeight="1" x14ac:dyDescent="0.3">
      <c r="A590" s="696" t="s">
        <v>505</v>
      </c>
      <c r="B590" s="697" t="s">
        <v>2707</v>
      </c>
      <c r="C590" s="697" t="s">
        <v>2708</v>
      </c>
      <c r="D590" s="697" t="s">
        <v>3711</v>
      </c>
      <c r="E590" s="697" t="s">
        <v>3712</v>
      </c>
      <c r="F590" s="701">
        <v>1207</v>
      </c>
      <c r="G590" s="701">
        <v>302957</v>
      </c>
      <c r="H590" s="701">
        <v>0.9966969446738233</v>
      </c>
      <c r="I590" s="701">
        <v>251</v>
      </c>
      <c r="J590" s="701">
        <v>1211</v>
      </c>
      <c r="K590" s="701">
        <v>303961</v>
      </c>
      <c r="L590" s="701">
        <v>1</v>
      </c>
      <c r="M590" s="701">
        <v>251</v>
      </c>
      <c r="N590" s="701">
        <v>1254</v>
      </c>
      <c r="O590" s="701">
        <v>316008</v>
      </c>
      <c r="P590" s="723">
        <v>1.0396333740183774</v>
      </c>
      <c r="Q590" s="702">
        <v>252</v>
      </c>
    </row>
    <row r="591" spans="1:17" ht="14.4" customHeight="1" x14ac:dyDescent="0.3">
      <c r="A591" s="696" t="s">
        <v>505</v>
      </c>
      <c r="B591" s="697" t="s">
        <v>2707</v>
      </c>
      <c r="C591" s="697" t="s">
        <v>2708</v>
      </c>
      <c r="D591" s="697" t="s">
        <v>3713</v>
      </c>
      <c r="E591" s="697" t="s">
        <v>3714</v>
      </c>
      <c r="F591" s="701">
        <v>0</v>
      </c>
      <c r="G591" s="701">
        <v>0</v>
      </c>
      <c r="H591" s="701"/>
      <c r="I591" s="701"/>
      <c r="J591" s="701">
        <v>0</v>
      </c>
      <c r="K591" s="701">
        <v>0</v>
      </c>
      <c r="L591" s="701"/>
      <c r="M591" s="701"/>
      <c r="N591" s="701">
        <v>0</v>
      </c>
      <c r="O591" s="701">
        <v>0</v>
      </c>
      <c r="P591" s="723"/>
      <c r="Q591" s="702"/>
    </row>
    <row r="592" spans="1:17" ht="14.4" customHeight="1" x14ac:dyDescent="0.3">
      <c r="A592" s="696" t="s">
        <v>505</v>
      </c>
      <c r="B592" s="697" t="s">
        <v>2707</v>
      </c>
      <c r="C592" s="697" t="s">
        <v>2708</v>
      </c>
      <c r="D592" s="697" t="s">
        <v>3715</v>
      </c>
      <c r="E592" s="697" t="s">
        <v>3716</v>
      </c>
      <c r="F592" s="701">
        <v>1224</v>
      </c>
      <c r="G592" s="701">
        <v>0</v>
      </c>
      <c r="H592" s="701"/>
      <c r="I592" s="701">
        <v>0</v>
      </c>
      <c r="J592" s="701">
        <v>1289</v>
      </c>
      <c r="K592" s="701">
        <v>0</v>
      </c>
      <c r="L592" s="701"/>
      <c r="M592" s="701">
        <v>0</v>
      </c>
      <c r="N592" s="701">
        <v>1523</v>
      </c>
      <c r="O592" s="701">
        <v>0</v>
      </c>
      <c r="P592" s="723"/>
      <c r="Q592" s="702">
        <v>0</v>
      </c>
    </row>
    <row r="593" spans="1:17" ht="14.4" customHeight="1" x14ac:dyDescent="0.3">
      <c r="A593" s="696" t="s">
        <v>505</v>
      </c>
      <c r="B593" s="697" t="s">
        <v>2707</v>
      </c>
      <c r="C593" s="697" t="s">
        <v>2708</v>
      </c>
      <c r="D593" s="697" t="s">
        <v>3717</v>
      </c>
      <c r="E593" s="697" t="s">
        <v>3718</v>
      </c>
      <c r="F593" s="701">
        <v>282</v>
      </c>
      <c r="G593" s="701">
        <v>0</v>
      </c>
      <c r="H593" s="701"/>
      <c r="I593" s="701">
        <v>0</v>
      </c>
      <c r="J593" s="701">
        <v>250</v>
      </c>
      <c r="K593" s="701">
        <v>0</v>
      </c>
      <c r="L593" s="701"/>
      <c r="M593" s="701">
        <v>0</v>
      </c>
      <c r="N593" s="701">
        <v>271</v>
      </c>
      <c r="O593" s="701">
        <v>0</v>
      </c>
      <c r="P593" s="723"/>
      <c r="Q593" s="702">
        <v>0</v>
      </c>
    </row>
    <row r="594" spans="1:17" ht="14.4" customHeight="1" x14ac:dyDescent="0.3">
      <c r="A594" s="696" t="s">
        <v>505</v>
      </c>
      <c r="B594" s="697" t="s">
        <v>2707</v>
      </c>
      <c r="C594" s="697" t="s">
        <v>2708</v>
      </c>
      <c r="D594" s="697" t="s">
        <v>3719</v>
      </c>
      <c r="E594" s="697" t="s">
        <v>3720</v>
      </c>
      <c r="F594" s="701">
        <v>119</v>
      </c>
      <c r="G594" s="701">
        <v>0</v>
      </c>
      <c r="H594" s="701"/>
      <c r="I594" s="701">
        <v>0</v>
      </c>
      <c r="J594" s="701">
        <v>92</v>
      </c>
      <c r="K594" s="701">
        <v>0</v>
      </c>
      <c r="L594" s="701"/>
      <c r="M594" s="701">
        <v>0</v>
      </c>
      <c r="N594" s="701">
        <v>118</v>
      </c>
      <c r="O594" s="701">
        <v>0</v>
      </c>
      <c r="P594" s="723"/>
      <c r="Q594" s="702">
        <v>0</v>
      </c>
    </row>
    <row r="595" spans="1:17" ht="14.4" customHeight="1" x14ac:dyDescent="0.3">
      <c r="A595" s="696" t="s">
        <v>505</v>
      </c>
      <c r="B595" s="697" t="s">
        <v>2707</v>
      </c>
      <c r="C595" s="697" t="s">
        <v>2708</v>
      </c>
      <c r="D595" s="697" t="s">
        <v>3721</v>
      </c>
      <c r="E595" s="697" t="s">
        <v>3722</v>
      </c>
      <c r="F595" s="701">
        <v>19</v>
      </c>
      <c r="G595" s="701">
        <v>0</v>
      </c>
      <c r="H595" s="701"/>
      <c r="I595" s="701">
        <v>0</v>
      </c>
      <c r="J595" s="701">
        <v>16</v>
      </c>
      <c r="K595" s="701">
        <v>0</v>
      </c>
      <c r="L595" s="701"/>
      <c r="M595" s="701">
        <v>0</v>
      </c>
      <c r="N595" s="701">
        <v>7</v>
      </c>
      <c r="O595" s="701">
        <v>0</v>
      </c>
      <c r="P595" s="723"/>
      <c r="Q595" s="702">
        <v>0</v>
      </c>
    </row>
    <row r="596" spans="1:17" ht="14.4" customHeight="1" x14ac:dyDescent="0.3">
      <c r="A596" s="696" t="s">
        <v>505</v>
      </c>
      <c r="B596" s="697" t="s">
        <v>2707</v>
      </c>
      <c r="C596" s="697" t="s">
        <v>2708</v>
      </c>
      <c r="D596" s="697" t="s">
        <v>3723</v>
      </c>
      <c r="E596" s="697" t="s">
        <v>3720</v>
      </c>
      <c r="F596" s="701"/>
      <c r="G596" s="701"/>
      <c r="H596" s="701"/>
      <c r="I596" s="701"/>
      <c r="J596" s="701">
        <v>1</v>
      </c>
      <c r="K596" s="701">
        <v>0</v>
      </c>
      <c r="L596" s="701"/>
      <c r="M596" s="701">
        <v>0</v>
      </c>
      <c r="N596" s="701"/>
      <c r="O596" s="701"/>
      <c r="P596" s="723"/>
      <c r="Q596" s="702"/>
    </row>
    <row r="597" spans="1:17" ht="14.4" customHeight="1" x14ac:dyDescent="0.3">
      <c r="A597" s="696" t="s">
        <v>505</v>
      </c>
      <c r="B597" s="697" t="s">
        <v>2707</v>
      </c>
      <c r="C597" s="697" t="s">
        <v>2708</v>
      </c>
      <c r="D597" s="697" t="s">
        <v>3724</v>
      </c>
      <c r="E597" s="697" t="s">
        <v>3720</v>
      </c>
      <c r="F597" s="701">
        <v>45</v>
      </c>
      <c r="G597" s="701">
        <v>0</v>
      </c>
      <c r="H597" s="701"/>
      <c r="I597" s="701">
        <v>0</v>
      </c>
      <c r="J597" s="701">
        <v>52</v>
      </c>
      <c r="K597" s="701">
        <v>0</v>
      </c>
      <c r="L597" s="701"/>
      <c r="M597" s="701">
        <v>0</v>
      </c>
      <c r="N597" s="701">
        <v>53</v>
      </c>
      <c r="O597" s="701">
        <v>0</v>
      </c>
      <c r="P597" s="723"/>
      <c r="Q597" s="702">
        <v>0</v>
      </c>
    </row>
    <row r="598" spans="1:17" ht="14.4" customHeight="1" x14ac:dyDescent="0.3">
      <c r="A598" s="696" t="s">
        <v>505</v>
      </c>
      <c r="B598" s="697" t="s">
        <v>2707</v>
      </c>
      <c r="C598" s="697" t="s">
        <v>2708</v>
      </c>
      <c r="D598" s="697" t="s">
        <v>3725</v>
      </c>
      <c r="E598" s="697" t="s">
        <v>3726</v>
      </c>
      <c r="F598" s="701">
        <v>39</v>
      </c>
      <c r="G598" s="701">
        <v>213564</v>
      </c>
      <c r="H598" s="701">
        <v>0.84782608695652173</v>
      </c>
      <c r="I598" s="701">
        <v>5476</v>
      </c>
      <c r="J598" s="701">
        <v>46</v>
      </c>
      <c r="K598" s="701">
        <v>251896</v>
      </c>
      <c r="L598" s="701">
        <v>1</v>
      </c>
      <c r="M598" s="701">
        <v>5476</v>
      </c>
      <c r="N598" s="701">
        <v>30</v>
      </c>
      <c r="O598" s="701">
        <v>164280</v>
      </c>
      <c r="P598" s="723">
        <v>0.65217391304347827</v>
      </c>
      <c r="Q598" s="702">
        <v>5476</v>
      </c>
    </row>
    <row r="599" spans="1:17" ht="14.4" customHeight="1" x14ac:dyDescent="0.3">
      <c r="A599" s="696" t="s">
        <v>505</v>
      </c>
      <c r="B599" s="697" t="s">
        <v>2707</v>
      </c>
      <c r="C599" s="697" t="s">
        <v>2708</v>
      </c>
      <c r="D599" s="697" t="s">
        <v>3727</v>
      </c>
      <c r="E599" s="697" t="s">
        <v>3728</v>
      </c>
      <c r="F599" s="701">
        <v>1</v>
      </c>
      <c r="G599" s="701">
        <v>0</v>
      </c>
      <c r="H599" s="701"/>
      <c r="I599" s="701">
        <v>0</v>
      </c>
      <c r="J599" s="701">
        <v>1</v>
      </c>
      <c r="K599" s="701">
        <v>0</v>
      </c>
      <c r="L599" s="701"/>
      <c r="M599" s="701">
        <v>0</v>
      </c>
      <c r="N599" s="701">
        <v>13</v>
      </c>
      <c r="O599" s="701">
        <v>0</v>
      </c>
      <c r="P599" s="723"/>
      <c r="Q599" s="702">
        <v>0</v>
      </c>
    </row>
    <row r="600" spans="1:17" ht="14.4" customHeight="1" x14ac:dyDescent="0.3">
      <c r="A600" s="696" t="s">
        <v>505</v>
      </c>
      <c r="B600" s="697" t="s">
        <v>2707</v>
      </c>
      <c r="C600" s="697" t="s">
        <v>2708</v>
      </c>
      <c r="D600" s="697" t="s">
        <v>3729</v>
      </c>
      <c r="E600" s="697" t="s">
        <v>3730</v>
      </c>
      <c r="F600" s="701">
        <v>123</v>
      </c>
      <c r="G600" s="701">
        <v>2947818</v>
      </c>
      <c r="H600" s="701">
        <v>0.8848920863309353</v>
      </c>
      <c r="I600" s="701">
        <v>23966</v>
      </c>
      <c r="J600" s="701">
        <v>139</v>
      </c>
      <c r="K600" s="701">
        <v>3331274</v>
      </c>
      <c r="L600" s="701">
        <v>1</v>
      </c>
      <c r="M600" s="701">
        <v>23966</v>
      </c>
      <c r="N600" s="701">
        <v>207</v>
      </c>
      <c r="O600" s="701">
        <v>4960962</v>
      </c>
      <c r="P600" s="723">
        <v>1.4892086330935252</v>
      </c>
      <c r="Q600" s="702">
        <v>23966</v>
      </c>
    </row>
    <row r="601" spans="1:17" ht="14.4" customHeight="1" x14ac:dyDescent="0.3">
      <c r="A601" s="696" t="s">
        <v>505</v>
      </c>
      <c r="B601" s="697" t="s">
        <v>2707</v>
      </c>
      <c r="C601" s="697" t="s">
        <v>2708</v>
      </c>
      <c r="D601" s="697" t="s">
        <v>3731</v>
      </c>
      <c r="E601" s="697" t="s">
        <v>3732</v>
      </c>
      <c r="F601" s="701">
        <v>301</v>
      </c>
      <c r="G601" s="701">
        <v>2009476</v>
      </c>
      <c r="H601" s="701">
        <v>0.88011695906432752</v>
      </c>
      <c r="I601" s="701">
        <v>6676</v>
      </c>
      <c r="J601" s="701">
        <v>342</v>
      </c>
      <c r="K601" s="701">
        <v>2283192</v>
      </c>
      <c r="L601" s="701">
        <v>1</v>
      </c>
      <c r="M601" s="701">
        <v>6676</v>
      </c>
      <c r="N601" s="701">
        <v>326</v>
      </c>
      <c r="O601" s="701">
        <v>2176376</v>
      </c>
      <c r="P601" s="723">
        <v>0.95321637426900585</v>
      </c>
      <c r="Q601" s="702">
        <v>6676</v>
      </c>
    </row>
    <row r="602" spans="1:17" ht="14.4" customHeight="1" x14ac:dyDescent="0.3">
      <c r="A602" s="696" t="s">
        <v>505</v>
      </c>
      <c r="B602" s="697" t="s">
        <v>2707</v>
      </c>
      <c r="C602" s="697" t="s">
        <v>2708</v>
      </c>
      <c r="D602" s="697" t="s">
        <v>3733</v>
      </c>
      <c r="E602" s="697" t="s">
        <v>3720</v>
      </c>
      <c r="F602" s="701">
        <v>10</v>
      </c>
      <c r="G602" s="701">
        <v>0</v>
      </c>
      <c r="H602" s="701"/>
      <c r="I602" s="701">
        <v>0</v>
      </c>
      <c r="J602" s="701">
        <v>14</v>
      </c>
      <c r="K602" s="701">
        <v>0</v>
      </c>
      <c r="L602" s="701"/>
      <c r="M602" s="701">
        <v>0</v>
      </c>
      <c r="N602" s="701">
        <v>15</v>
      </c>
      <c r="O602" s="701">
        <v>0</v>
      </c>
      <c r="P602" s="723"/>
      <c r="Q602" s="702">
        <v>0</v>
      </c>
    </row>
    <row r="603" spans="1:17" ht="14.4" customHeight="1" x14ac:dyDescent="0.3">
      <c r="A603" s="696" t="s">
        <v>505</v>
      </c>
      <c r="B603" s="697" t="s">
        <v>2707</v>
      </c>
      <c r="C603" s="697" t="s">
        <v>2708</v>
      </c>
      <c r="D603" s="697" t="s">
        <v>3734</v>
      </c>
      <c r="E603" s="697" t="s">
        <v>3735</v>
      </c>
      <c r="F603" s="701">
        <v>68</v>
      </c>
      <c r="G603" s="701">
        <v>1901688</v>
      </c>
      <c r="H603" s="701">
        <v>0.7640449438202247</v>
      </c>
      <c r="I603" s="701">
        <v>27966</v>
      </c>
      <c r="J603" s="701">
        <v>89</v>
      </c>
      <c r="K603" s="701">
        <v>2488974</v>
      </c>
      <c r="L603" s="701">
        <v>1</v>
      </c>
      <c r="M603" s="701">
        <v>27966</v>
      </c>
      <c r="N603" s="701">
        <v>101</v>
      </c>
      <c r="O603" s="701">
        <v>2824566</v>
      </c>
      <c r="P603" s="723">
        <v>1.1348314606741574</v>
      </c>
      <c r="Q603" s="702">
        <v>27966</v>
      </c>
    </row>
    <row r="604" spans="1:17" ht="14.4" customHeight="1" x14ac:dyDescent="0.3">
      <c r="A604" s="696" t="s">
        <v>505</v>
      </c>
      <c r="B604" s="697" t="s">
        <v>2707</v>
      </c>
      <c r="C604" s="697" t="s">
        <v>2708</v>
      </c>
      <c r="D604" s="697" t="s">
        <v>2709</v>
      </c>
      <c r="E604" s="697" t="s">
        <v>2710</v>
      </c>
      <c r="F604" s="701">
        <v>677</v>
      </c>
      <c r="G604" s="701">
        <v>251844</v>
      </c>
      <c r="H604" s="701">
        <v>1.0276872100188117</v>
      </c>
      <c r="I604" s="701">
        <v>372</v>
      </c>
      <c r="J604" s="701">
        <v>657</v>
      </c>
      <c r="K604" s="701">
        <v>245059</v>
      </c>
      <c r="L604" s="701">
        <v>1</v>
      </c>
      <c r="M604" s="701">
        <v>372.99695585996955</v>
      </c>
      <c r="N604" s="701">
        <v>604</v>
      </c>
      <c r="O604" s="701">
        <v>225894</v>
      </c>
      <c r="P604" s="723">
        <v>0.92179434340301725</v>
      </c>
      <c r="Q604" s="702">
        <v>373.99668874172187</v>
      </c>
    </row>
    <row r="605" spans="1:17" ht="14.4" customHeight="1" x14ac:dyDescent="0.3">
      <c r="A605" s="696" t="s">
        <v>505</v>
      </c>
      <c r="B605" s="697" t="s">
        <v>2707</v>
      </c>
      <c r="C605" s="697" t="s">
        <v>2708</v>
      </c>
      <c r="D605" s="697" t="s">
        <v>3736</v>
      </c>
      <c r="E605" s="697" t="s">
        <v>3737</v>
      </c>
      <c r="F605" s="701">
        <v>5</v>
      </c>
      <c r="G605" s="701">
        <v>5760</v>
      </c>
      <c r="H605" s="701"/>
      <c r="I605" s="701">
        <v>1152</v>
      </c>
      <c r="J605" s="701"/>
      <c r="K605" s="701"/>
      <c r="L605" s="701"/>
      <c r="M605" s="701"/>
      <c r="N605" s="701"/>
      <c r="O605" s="701"/>
      <c r="P605" s="723"/>
      <c r="Q605" s="702"/>
    </row>
    <row r="606" spans="1:17" ht="14.4" customHeight="1" x14ac:dyDescent="0.3">
      <c r="A606" s="696" t="s">
        <v>505</v>
      </c>
      <c r="B606" s="697" t="s">
        <v>2707</v>
      </c>
      <c r="C606" s="697" t="s">
        <v>2708</v>
      </c>
      <c r="D606" s="697" t="s">
        <v>3738</v>
      </c>
      <c r="E606" s="697" t="s">
        <v>3739</v>
      </c>
      <c r="F606" s="701">
        <v>32</v>
      </c>
      <c r="G606" s="701">
        <v>0</v>
      </c>
      <c r="H606" s="701"/>
      <c r="I606" s="701">
        <v>0</v>
      </c>
      <c r="J606" s="701">
        <v>15</v>
      </c>
      <c r="K606" s="701">
        <v>0</v>
      </c>
      <c r="L606" s="701"/>
      <c r="M606" s="701">
        <v>0</v>
      </c>
      <c r="N606" s="701">
        <v>18</v>
      </c>
      <c r="O606" s="701">
        <v>0</v>
      </c>
      <c r="P606" s="723"/>
      <c r="Q606" s="702">
        <v>0</v>
      </c>
    </row>
    <row r="607" spans="1:17" ht="14.4" customHeight="1" x14ac:dyDescent="0.3">
      <c r="A607" s="696" t="s">
        <v>505</v>
      </c>
      <c r="B607" s="697" t="s">
        <v>2707</v>
      </c>
      <c r="C607" s="697" t="s">
        <v>2708</v>
      </c>
      <c r="D607" s="697" t="s">
        <v>3740</v>
      </c>
      <c r="E607" s="697" t="s">
        <v>3741</v>
      </c>
      <c r="F607" s="701">
        <v>2</v>
      </c>
      <c r="G607" s="701">
        <v>1246</v>
      </c>
      <c r="H607" s="701"/>
      <c r="I607" s="701">
        <v>623</v>
      </c>
      <c r="J607" s="701"/>
      <c r="K607" s="701"/>
      <c r="L607" s="701"/>
      <c r="M607" s="701"/>
      <c r="N607" s="701"/>
      <c r="O607" s="701"/>
      <c r="P607" s="723"/>
      <c r="Q607" s="702"/>
    </row>
    <row r="608" spans="1:17" ht="14.4" customHeight="1" x14ac:dyDescent="0.3">
      <c r="A608" s="696" t="s">
        <v>505</v>
      </c>
      <c r="B608" s="697" t="s">
        <v>2707</v>
      </c>
      <c r="C608" s="697" t="s">
        <v>2708</v>
      </c>
      <c r="D608" s="697" t="s">
        <v>3742</v>
      </c>
      <c r="E608" s="697" t="s">
        <v>3720</v>
      </c>
      <c r="F608" s="701">
        <v>2</v>
      </c>
      <c r="G608" s="701">
        <v>0</v>
      </c>
      <c r="H608" s="701"/>
      <c r="I608" s="701">
        <v>0</v>
      </c>
      <c r="J608" s="701">
        <v>4</v>
      </c>
      <c r="K608" s="701">
        <v>0</v>
      </c>
      <c r="L608" s="701"/>
      <c r="M608" s="701">
        <v>0</v>
      </c>
      <c r="N608" s="701">
        <v>5</v>
      </c>
      <c r="O608" s="701">
        <v>0</v>
      </c>
      <c r="P608" s="723"/>
      <c r="Q608" s="702">
        <v>0</v>
      </c>
    </row>
    <row r="609" spans="1:17" ht="14.4" customHeight="1" x14ac:dyDescent="0.3">
      <c r="A609" s="696" t="s">
        <v>505</v>
      </c>
      <c r="B609" s="697" t="s">
        <v>3743</v>
      </c>
      <c r="C609" s="697" t="s">
        <v>2708</v>
      </c>
      <c r="D609" s="697" t="s">
        <v>2761</v>
      </c>
      <c r="E609" s="697" t="s">
        <v>2762</v>
      </c>
      <c r="F609" s="701">
        <v>1</v>
      </c>
      <c r="G609" s="701">
        <v>709</v>
      </c>
      <c r="H609" s="701"/>
      <c r="I609" s="701">
        <v>709</v>
      </c>
      <c r="J609" s="701"/>
      <c r="K609" s="701"/>
      <c r="L609" s="701"/>
      <c r="M609" s="701"/>
      <c r="N609" s="701"/>
      <c r="O609" s="701"/>
      <c r="P609" s="723"/>
      <c r="Q609" s="702"/>
    </row>
    <row r="610" spans="1:17" ht="14.4" customHeight="1" x14ac:dyDescent="0.3">
      <c r="A610" s="696" t="s">
        <v>505</v>
      </c>
      <c r="B610" s="697" t="s">
        <v>3743</v>
      </c>
      <c r="C610" s="697" t="s">
        <v>2708</v>
      </c>
      <c r="D610" s="697" t="s">
        <v>3744</v>
      </c>
      <c r="E610" s="697" t="s">
        <v>3745</v>
      </c>
      <c r="F610" s="701">
        <v>1</v>
      </c>
      <c r="G610" s="701">
        <v>5923</v>
      </c>
      <c r="H610" s="701"/>
      <c r="I610" s="701">
        <v>5923</v>
      </c>
      <c r="J610" s="701"/>
      <c r="K610" s="701"/>
      <c r="L610" s="701"/>
      <c r="M610" s="701"/>
      <c r="N610" s="701"/>
      <c r="O610" s="701"/>
      <c r="P610" s="723"/>
      <c r="Q610" s="702"/>
    </row>
    <row r="611" spans="1:17" ht="14.4" customHeight="1" x14ac:dyDescent="0.3">
      <c r="A611" s="696" t="s">
        <v>505</v>
      </c>
      <c r="B611" s="697" t="s">
        <v>3743</v>
      </c>
      <c r="C611" s="697" t="s">
        <v>2708</v>
      </c>
      <c r="D611" s="697" t="s">
        <v>3108</v>
      </c>
      <c r="E611" s="697" t="s">
        <v>3109</v>
      </c>
      <c r="F611" s="701">
        <v>15</v>
      </c>
      <c r="G611" s="701">
        <v>2610</v>
      </c>
      <c r="H611" s="701">
        <v>5</v>
      </c>
      <c r="I611" s="701">
        <v>174</v>
      </c>
      <c r="J611" s="701">
        <v>3</v>
      </c>
      <c r="K611" s="701">
        <v>522</v>
      </c>
      <c r="L611" s="701">
        <v>1</v>
      </c>
      <c r="M611" s="701">
        <v>174</v>
      </c>
      <c r="N611" s="701"/>
      <c r="O611" s="701"/>
      <c r="P611" s="723"/>
      <c r="Q611" s="702"/>
    </row>
    <row r="612" spans="1:17" ht="14.4" customHeight="1" x14ac:dyDescent="0.3">
      <c r="A612" s="696" t="s">
        <v>505</v>
      </c>
      <c r="B612" s="697" t="s">
        <v>3743</v>
      </c>
      <c r="C612" s="697" t="s">
        <v>2708</v>
      </c>
      <c r="D612" s="697" t="s">
        <v>3746</v>
      </c>
      <c r="E612" s="697" t="s">
        <v>3747</v>
      </c>
      <c r="F612" s="701"/>
      <c r="G612" s="701"/>
      <c r="H612" s="701"/>
      <c r="I612" s="701"/>
      <c r="J612" s="701">
        <v>1</v>
      </c>
      <c r="K612" s="701">
        <v>541</v>
      </c>
      <c r="L612" s="701">
        <v>1</v>
      </c>
      <c r="M612" s="701">
        <v>541</v>
      </c>
      <c r="N612" s="701"/>
      <c r="O612" s="701"/>
      <c r="P612" s="723"/>
      <c r="Q612" s="702"/>
    </row>
    <row r="613" spans="1:17" ht="14.4" customHeight="1" x14ac:dyDescent="0.3">
      <c r="A613" s="696" t="s">
        <v>505</v>
      </c>
      <c r="B613" s="697" t="s">
        <v>3743</v>
      </c>
      <c r="C613" s="697" t="s">
        <v>2708</v>
      </c>
      <c r="D613" s="697" t="s">
        <v>3748</v>
      </c>
      <c r="E613" s="697" t="s">
        <v>3749</v>
      </c>
      <c r="F613" s="701">
        <v>2</v>
      </c>
      <c r="G613" s="701">
        <v>2996</v>
      </c>
      <c r="H613" s="701"/>
      <c r="I613" s="701">
        <v>1498</v>
      </c>
      <c r="J613" s="701"/>
      <c r="K613" s="701"/>
      <c r="L613" s="701"/>
      <c r="M613" s="701"/>
      <c r="N613" s="701"/>
      <c r="O613" s="701"/>
      <c r="P613" s="723"/>
      <c r="Q613" s="702"/>
    </row>
    <row r="614" spans="1:17" ht="14.4" customHeight="1" x14ac:dyDescent="0.3">
      <c r="A614" s="696" t="s">
        <v>505</v>
      </c>
      <c r="B614" s="697" t="s">
        <v>3743</v>
      </c>
      <c r="C614" s="697" t="s">
        <v>2708</v>
      </c>
      <c r="D614" s="697" t="s">
        <v>3750</v>
      </c>
      <c r="E614" s="697" t="s">
        <v>3751</v>
      </c>
      <c r="F614" s="701">
        <v>1</v>
      </c>
      <c r="G614" s="701">
        <v>1399</v>
      </c>
      <c r="H614" s="701">
        <v>0.99928571428571433</v>
      </c>
      <c r="I614" s="701">
        <v>1399</v>
      </c>
      <c r="J614" s="701">
        <v>1</v>
      </c>
      <c r="K614" s="701">
        <v>1400</v>
      </c>
      <c r="L614" s="701">
        <v>1</v>
      </c>
      <c r="M614" s="701">
        <v>1400</v>
      </c>
      <c r="N614" s="701">
        <v>1</v>
      </c>
      <c r="O614" s="701">
        <v>1402</v>
      </c>
      <c r="P614" s="723">
        <v>1.0014285714285713</v>
      </c>
      <c r="Q614" s="702">
        <v>1402</v>
      </c>
    </row>
    <row r="615" spans="1:17" ht="14.4" customHeight="1" x14ac:dyDescent="0.3">
      <c r="A615" s="696" t="s">
        <v>505</v>
      </c>
      <c r="B615" s="697" t="s">
        <v>3743</v>
      </c>
      <c r="C615" s="697" t="s">
        <v>2708</v>
      </c>
      <c r="D615" s="697" t="s">
        <v>3752</v>
      </c>
      <c r="E615" s="697" t="s">
        <v>3753</v>
      </c>
      <c r="F615" s="701">
        <v>4</v>
      </c>
      <c r="G615" s="701">
        <v>4124</v>
      </c>
      <c r="H615" s="701"/>
      <c r="I615" s="701">
        <v>1031</v>
      </c>
      <c r="J615" s="701"/>
      <c r="K615" s="701"/>
      <c r="L615" s="701"/>
      <c r="M615" s="701"/>
      <c r="N615" s="701">
        <v>1</v>
      </c>
      <c r="O615" s="701">
        <v>1034</v>
      </c>
      <c r="P615" s="723"/>
      <c r="Q615" s="702">
        <v>1034</v>
      </c>
    </row>
    <row r="616" spans="1:17" ht="14.4" customHeight="1" x14ac:dyDescent="0.3">
      <c r="A616" s="696" t="s">
        <v>505</v>
      </c>
      <c r="B616" s="697" t="s">
        <v>3743</v>
      </c>
      <c r="C616" s="697" t="s">
        <v>2708</v>
      </c>
      <c r="D616" s="697" t="s">
        <v>3754</v>
      </c>
      <c r="E616" s="697" t="s">
        <v>3755</v>
      </c>
      <c r="F616" s="701"/>
      <c r="G616" s="701"/>
      <c r="H616" s="701"/>
      <c r="I616" s="701"/>
      <c r="J616" s="701">
        <v>0</v>
      </c>
      <c r="K616" s="701">
        <v>0</v>
      </c>
      <c r="L616" s="701"/>
      <c r="M616" s="701"/>
      <c r="N616" s="701"/>
      <c r="O616" s="701"/>
      <c r="P616" s="723"/>
      <c r="Q616" s="702"/>
    </row>
    <row r="617" spans="1:17" ht="14.4" customHeight="1" x14ac:dyDescent="0.3">
      <c r="A617" s="696" t="s">
        <v>505</v>
      </c>
      <c r="B617" s="697" t="s">
        <v>3743</v>
      </c>
      <c r="C617" s="697" t="s">
        <v>2708</v>
      </c>
      <c r="D617" s="697" t="s">
        <v>3756</v>
      </c>
      <c r="E617" s="697" t="s">
        <v>3757</v>
      </c>
      <c r="F617" s="701">
        <v>1</v>
      </c>
      <c r="G617" s="701">
        <v>1677</v>
      </c>
      <c r="H617" s="701"/>
      <c r="I617" s="701">
        <v>1677</v>
      </c>
      <c r="J617" s="701"/>
      <c r="K617" s="701"/>
      <c r="L617" s="701"/>
      <c r="M617" s="701"/>
      <c r="N617" s="701"/>
      <c r="O617" s="701"/>
      <c r="P617" s="723"/>
      <c r="Q617" s="702"/>
    </row>
    <row r="618" spans="1:17" ht="14.4" customHeight="1" x14ac:dyDescent="0.3">
      <c r="A618" s="696" t="s">
        <v>505</v>
      </c>
      <c r="B618" s="697" t="s">
        <v>3743</v>
      </c>
      <c r="C618" s="697" t="s">
        <v>2708</v>
      </c>
      <c r="D618" s="697" t="s">
        <v>3758</v>
      </c>
      <c r="E618" s="697" t="s">
        <v>3759</v>
      </c>
      <c r="F618" s="701">
        <v>4</v>
      </c>
      <c r="G618" s="701">
        <v>264</v>
      </c>
      <c r="H618" s="701"/>
      <c r="I618" s="701">
        <v>66</v>
      </c>
      <c r="J618" s="701"/>
      <c r="K618" s="701"/>
      <c r="L618" s="701"/>
      <c r="M618" s="701"/>
      <c r="N618" s="701"/>
      <c r="O618" s="701"/>
      <c r="P618" s="723"/>
      <c r="Q618" s="702"/>
    </row>
    <row r="619" spans="1:17" ht="14.4" customHeight="1" x14ac:dyDescent="0.3">
      <c r="A619" s="696" t="s">
        <v>505</v>
      </c>
      <c r="B619" s="697" t="s">
        <v>3743</v>
      </c>
      <c r="C619" s="697" t="s">
        <v>2708</v>
      </c>
      <c r="D619" s="697" t="s">
        <v>3760</v>
      </c>
      <c r="E619" s="697" t="s">
        <v>3761</v>
      </c>
      <c r="F619" s="701"/>
      <c r="G619" s="701"/>
      <c r="H619" s="701"/>
      <c r="I619" s="701"/>
      <c r="J619" s="701"/>
      <c r="K619" s="701"/>
      <c r="L619" s="701"/>
      <c r="M619" s="701"/>
      <c r="N619" s="701">
        <v>1</v>
      </c>
      <c r="O619" s="701">
        <v>86</v>
      </c>
      <c r="P619" s="723"/>
      <c r="Q619" s="702">
        <v>86</v>
      </c>
    </row>
    <row r="620" spans="1:17" ht="14.4" customHeight="1" x14ac:dyDescent="0.3">
      <c r="A620" s="696" t="s">
        <v>505</v>
      </c>
      <c r="B620" s="697" t="s">
        <v>3743</v>
      </c>
      <c r="C620" s="697" t="s">
        <v>2708</v>
      </c>
      <c r="D620" s="697" t="s">
        <v>3760</v>
      </c>
      <c r="E620" s="697" t="s">
        <v>3762</v>
      </c>
      <c r="F620" s="701">
        <v>1</v>
      </c>
      <c r="G620" s="701">
        <v>86</v>
      </c>
      <c r="H620" s="701"/>
      <c r="I620" s="701">
        <v>86</v>
      </c>
      <c r="J620" s="701"/>
      <c r="K620" s="701"/>
      <c r="L620" s="701"/>
      <c r="M620" s="701"/>
      <c r="N620" s="701"/>
      <c r="O620" s="701"/>
      <c r="P620" s="723"/>
      <c r="Q620" s="702"/>
    </row>
    <row r="621" spans="1:17" ht="14.4" customHeight="1" x14ac:dyDescent="0.3">
      <c r="A621" s="696" t="s">
        <v>505</v>
      </c>
      <c r="B621" s="697" t="s">
        <v>3743</v>
      </c>
      <c r="C621" s="697" t="s">
        <v>2708</v>
      </c>
      <c r="D621" s="697" t="s">
        <v>3763</v>
      </c>
      <c r="E621" s="697" t="s">
        <v>3747</v>
      </c>
      <c r="F621" s="701">
        <v>2</v>
      </c>
      <c r="G621" s="701">
        <v>1376</v>
      </c>
      <c r="H621" s="701">
        <v>2</v>
      </c>
      <c r="I621" s="701">
        <v>688</v>
      </c>
      <c r="J621" s="701">
        <v>1</v>
      </c>
      <c r="K621" s="701">
        <v>688</v>
      </c>
      <c r="L621" s="701">
        <v>1</v>
      </c>
      <c r="M621" s="701">
        <v>688</v>
      </c>
      <c r="N621" s="701">
        <v>2</v>
      </c>
      <c r="O621" s="701">
        <v>1378</v>
      </c>
      <c r="P621" s="723">
        <v>2.0029069767441858</v>
      </c>
      <c r="Q621" s="702">
        <v>689</v>
      </c>
    </row>
    <row r="622" spans="1:17" ht="14.4" customHeight="1" x14ac:dyDescent="0.3">
      <c r="A622" s="696" t="s">
        <v>505</v>
      </c>
      <c r="B622" s="697" t="s">
        <v>3743</v>
      </c>
      <c r="C622" s="697" t="s">
        <v>2708</v>
      </c>
      <c r="D622" s="697" t="s">
        <v>2847</v>
      </c>
      <c r="E622" s="697" t="s">
        <v>2849</v>
      </c>
      <c r="F622" s="701">
        <v>0</v>
      </c>
      <c r="G622" s="701">
        <v>0</v>
      </c>
      <c r="H622" s="701"/>
      <c r="I622" s="701"/>
      <c r="J622" s="701"/>
      <c r="K622" s="701"/>
      <c r="L622" s="701"/>
      <c r="M622" s="701"/>
      <c r="N622" s="701"/>
      <c r="O622" s="701"/>
      <c r="P622" s="723"/>
      <c r="Q622" s="702"/>
    </row>
    <row r="623" spans="1:17" ht="14.4" customHeight="1" x14ac:dyDescent="0.3">
      <c r="A623" s="696" t="s">
        <v>505</v>
      </c>
      <c r="B623" s="697" t="s">
        <v>3743</v>
      </c>
      <c r="C623" s="697" t="s">
        <v>2708</v>
      </c>
      <c r="D623" s="697" t="s">
        <v>2850</v>
      </c>
      <c r="E623" s="697" t="s">
        <v>2851</v>
      </c>
      <c r="F623" s="701">
        <v>3</v>
      </c>
      <c r="G623" s="701">
        <v>2595</v>
      </c>
      <c r="H623" s="701">
        <v>3</v>
      </c>
      <c r="I623" s="701">
        <v>865</v>
      </c>
      <c r="J623" s="701">
        <v>1</v>
      </c>
      <c r="K623" s="701">
        <v>865</v>
      </c>
      <c r="L623" s="701">
        <v>1</v>
      </c>
      <c r="M623" s="701">
        <v>865</v>
      </c>
      <c r="N623" s="701"/>
      <c r="O623" s="701"/>
      <c r="P623" s="723"/>
      <c r="Q623" s="702"/>
    </row>
    <row r="624" spans="1:17" ht="14.4" customHeight="1" x14ac:dyDescent="0.3">
      <c r="A624" s="696" t="s">
        <v>505</v>
      </c>
      <c r="B624" s="697" t="s">
        <v>3743</v>
      </c>
      <c r="C624" s="697" t="s">
        <v>2708</v>
      </c>
      <c r="D624" s="697" t="s">
        <v>2862</v>
      </c>
      <c r="E624" s="697" t="s">
        <v>2863</v>
      </c>
      <c r="F624" s="701">
        <v>2</v>
      </c>
      <c r="G624" s="701">
        <v>366</v>
      </c>
      <c r="H624" s="701"/>
      <c r="I624" s="701">
        <v>183</v>
      </c>
      <c r="J624" s="701">
        <v>0</v>
      </c>
      <c r="K624" s="701">
        <v>0</v>
      </c>
      <c r="L624" s="701"/>
      <c r="M624" s="701"/>
      <c r="N624" s="701"/>
      <c r="O624" s="701"/>
      <c r="P624" s="723"/>
      <c r="Q624" s="702"/>
    </row>
    <row r="625" spans="1:17" ht="14.4" customHeight="1" x14ac:dyDescent="0.3">
      <c r="A625" s="696" t="s">
        <v>505</v>
      </c>
      <c r="B625" s="697" t="s">
        <v>3743</v>
      </c>
      <c r="C625" s="697" t="s">
        <v>2708</v>
      </c>
      <c r="D625" s="697" t="s">
        <v>2862</v>
      </c>
      <c r="E625" s="697" t="s">
        <v>3764</v>
      </c>
      <c r="F625" s="701"/>
      <c r="G625" s="701"/>
      <c r="H625" s="701"/>
      <c r="I625" s="701"/>
      <c r="J625" s="701"/>
      <c r="K625" s="701"/>
      <c r="L625" s="701"/>
      <c r="M625" s="701"/>
      <c r="N625" s="701">
        <v>1</v>
      </c>
      <c r="O625" s="701">
        <v>375</v>
      </c>
      <c r="P625" s="723"/>
      <c r="Q625" s="702">
        <v>375</v>
      </c>
    </row>
    <row r="626" spans="1:17" ht="14.4" customHeight="1" x14ac:dyDescent="0.3">
      <c r="A626" s="696" t="s">
        <v>505</v>
      </c>
      <c r="B626" s="697" t="s">
        <v>3743</v>
      </c>
      <c r="C626" s="697" t="s">
        <v>2708</v>
      </c>
      <c r="D626" s="697" t="s">
        <v>3765</v>
      </c>
      <c r="E626" s="697" t="s">
        <v>3766</v>
      </c>
      <c r="F626" s="701">
        <v>1</v>
      </c>
      <c r="G626" s="701">
        <v>1547</v>
      </c>
      <c r="H626" s="701"/>
      <c r="I626" s="701">
        <v>1547</v>
      </c>
      <c r="J626" s="701"/>
      <c r="K626" s="701"/>
      <c r="L626" s="701"/>
      <c r="M626" s="701"/>
      <c r="N626" s="701">
        <v>1</v>
      </c>
      <c r="O626" s="701">
        <v>1544</v>
      </c>
      <c r="P626" s="723"/>
      <c r="Q626" s="702">
        <v>1544</v>
      </c>
    </row>
    <row r="627" spans="1:17" ht="14.4" customHeight="1" x14ac:dyDescent="0.3">
      <c r="A627" s="696" t="s">
        <v>505</v>
      </c>
      <c r="B627" s="697" t="s">
        <v>3743</v>
      </c>
      <c r="C627" s="697" t="s">
        <v>2708</v>
      </c>
      <c r="D627" s="697" t="s">
        <v>2874</v>
      </c>
      <c r="E627" s="697" t="s">
        <v>3767</v>
      </c>
      <c r="F627" s="701"/>
      <c r="G627" s="701"/>
      <c r="H627" s="701"/>
      <c r="I627" s="701"/>
      <c r="J627" s="701"/>
      <c r="K627" s="701"/>
      <c r="L627" s="701"/>
      <c r="M627" s="701"/>
      <c r="N627" s="701">
        <v>1</v>
      </c>
      <c r="O627" s="701">
        <v>391</v>
      </c>
      <c r="P627" s="723"/>
      <c r="Q627" s="702">
        <v>391</v>
      </c>
    </row>
    <row r="628" spans="1:17" ht="14.4" customHeight="1" x14ac:dyDescent="0.3">
      <c r="A628" s="696" t="s">
        <v>505</v>
      </c>
      <c r="B628" s="697" t="s">
        <v>3743</v>
      </c>
      <c r="C628" s="697" t="s">
        <v>2708</v>
      </c>
      <c r="D628" s="697" t="s">
        <v>3768</v>
      </c>
      <c r="E628" s="697" t="s">
        <v>3769</v>
      </c>
      <c r="F628" s="701"/>
      <c r="G628" s="701"/>
      <c r="H628" s="701"/>
      <c r="I628" s="701"/>
      <c r="J628" s="701"/>
      <c r="K628" s="701"/>
      <c r="L628" s="701"/>
      <c r="M628" s="701"/>
      <c r="N628" s="701">
        <v>1</v>
      </c>
      <c r="O628" s="701">
        <v>506</v>
      </c>
      <c r="P628" s="723"/>
      <c r="Q628" s="702">
        <v>506</v>
      </c>
    </row>
    <row r="629" spans="1:17" ht="14.4" customHeight="1" x14ac:dyDescent="0.3">
      <c r="A629" s="696" t="s">
        <v>505</v>
      </c>
      <c r="B629" s="697" t="s">
        <v>3743</v>
      </c>
      <c r="C629" s="697" t="s">
        <v>2708</v>
      </c>
      <c r="D629" s="697" t="s">
        <v>3770</v>
      </c>
      <c r="E629" s="697" t="s">
        <v>3771</v>
      </c>
      <c r="F629" s="701"/>
      <c r="G629" s="701"/>
      <c r="H629" s="701"/>
      <c r="I629" s="701"/>
      <c r="J629" s="701">
        <v>2</v>
      </c>
      <c r="K629" s="701">
        <v>5524</v>
      </c>
      <c r="L629" s="701">
        <v>1</v>
      </c>
      <c r="M629" s="701">
        <v>2762</v>
      </c>
      <c r="N629" s="701"/>
      <c r="O629" s="701"/>
      <c r="P629" s="723"/>
      <c r="Q629" s="702"/>
    </row>
    <row r="630" spans="1:17" ht="14.4" customHeight="1" x14ac:dyDescent="0.3">
      <c r="A630" s="696" t="s">
        <v>505</v>
      </c>
      <c r="B630" s="697" t="s">
        <v>3743</v>
      </c>
      <c r="C630" s="697" t="s">
        <v>2708</v>
      </c>
      <c r="D630" s="697" t="s">
        <v>3772</v>
      </c>
      <c r="E630" s="697" t="s">
        <v>3773</v>
      </c>
      <c r="F630" s="701"/>
      <c r="G630" s="701"/>
      <c r="H630" s="701"/>
      <c r="I630" s="701"/>
      <c r="J630" s="701"/>
      <c r="K630" s="701"/>
      <c r="L630" s="701"/>
      <c r="M630" s="701"/>
      <c r="N630" s="701">
        <v>1</v>
      </c>
      <c r="O630" s="701">
        <v>311</v>
      </c>
      <c r="P630" s="723"/>
      <c r="Q630" s="702">
        <v>311</v>
      </c>
    </row>
    <row r="631" spans="1:17" ht="14.4" customHeight="1" x14ac:dyDescent="0.3">
      <c r="A631" s="696" t="s">
        <v>505</v>
      </c>
      <c r="B631" s="697" t="s">
        <v>3743</v>
      </c>
      <c r="C631" s="697" t="s">
        <v>2708</v>
      </c>
      <c r="D631" s="697" t="s">
        <v>3774</v>
      </c>
      <c r="E631" s="697" t="s">
        <v>3775</v>
      </c>
      <c r="F631" s="701"/>
      <c r="G631" s="701"/>
      <c r="H631" s="701"/>
      <c r="I631" s="701"/>
      <c r="J631" s="701"/>
      <c r="K631" s="701"/>
      <c r="L631" s="701"/>
      <c r="M631" s="701"/>
      <c r="N631" s="701">
        <v>2</v>
      </c>
      <c r="O631" s="701">
        <v>3476</v>
      </c>
      <c r="P631" s="723"/>
      <c r="Q631" s="702">
        <v>1738</v>
      </c>
    </row>
    <row r="632" spans="1:17" ht="14.4" customHeight="1" x14ac:dyDescent="0.3">
      <c r="A632" s="696" t="s">
        <v>505</v>
      </c>
      <c r="B632" s="697" t="s">
        <v>3743</v>
      </c>
      <c r="C632" s="697" t="s">
        <v>2708</v>
      </c>
      <c r="D632" s="697" t="s">
        <v>3774</v>
      </c>
      <c r="E632" s="697" t="s">
        <v>3776</v>
      </c>
      <c r="F632" s="701">
        <v>1</v>
      </c>
      <c r="G632" s="701">
        <v>1734</v>
      </c>
      <c r="H632" s="701"/>
      <c r="I632" s="701">
        <v>1734</v>
      </c>
      <c r="J632" s="701"/>
      <c r="K632" s="701"/>
      <c r="L632" s="701"/>
      <c r="M632" s="701"/>
      <c r="N632" s="701"/>
      <c r="O632" s="701"/>
      <c r="P632" s="723"/>
      <c r="Q632" s="702"/>
    </row>
    <row r="633" spans="1:17" ht="14.4" customHeight="1" x14ac:dyDescent="0.3">
      <c r="A633" s="696" t="s">
        <v>505</v>
      </c>
      <c r="B633" s="697" t="s">
        <v>3743</v>
      </c>
      <c r="C633" s="697" t="s">
        <v>2708</v>
      </c>
      <c r="D633" s="697" t="s">
        <v>3777</v>
      </c>
      <c r="E633" s="697" t="s">
        <v>3778</v>
      </c>
      <c r="F633" s="701">
        <v>6</v>
      </c>
      <c r="G633" s="701">
        <v>6006</v>
      </c>
      <c r="H633" s="701"/>
      <c r="I633" s="701">
        <v>1001</v>
      </c>
      <c r="J633" s="701"/>
      <c r="K633" s="701"/>
      <c r="L633" s="701"/>
      <c r="M633" s="701"/>
      <c r="N633" s="701"/>
      <c r="O633" s="701"/>
      <c r="P633" s="723"/>
      <c r="Q633" s="702"/>
    </row>
    <row r="634" spans="1:17" ht="14.4" customHeight="1" x14ac:dyDescent="0.3">
      <c r="A634" s="696" t="s">
        <v>505</v>
      </c>
      <c r="B634" s="697" t="s">
        <v>3743</v>
      </c>
      <c r="C634" s="697" t="s">
        <v>2708</v>
      </c>
      <c r="D634" s="697" t="s">
        <v>3779</v>
      </c>
      <c r="E634" s="697" t="s">
        <v>3780</v>
      </c>
      <c r="F634" s="701">
        <v>5</v>
      </c>
      <c r="G634" s="701">
        <v>9200</v>
      </c>
      <c r="H634" s="701">
        <v>4.9972840847365561</v>
      </c>
      <c r="I634" s="701">
        <v>1840</v>
      </c>
      <c r="J634" s="701">
        <v>1</v>
      </c>
      <c r="K634" s="701">
        <v>1841</v>
      </c>
      <c r="L634" s="701">
        <v>1</v>
      </c>
      <c r="M634" s="701">
        <v>1841</v>
      </c>
      <c r="N634" s="701"/>
      <c r="O634" s="701"/>
      <c r="P634" s="723"/>
      <c r="Q634" s="702"/>
    </row>
    <row r="635" spans="1:17" ht="14.4" customHeight="1" x14ac:dyDescent="0.3">
      <c r="A635" s="696" t="s">
        <v>505</v>
      </c>
      <c r="B635" s="697" t="s">
        <v>3743</v>
      </c>
      <c r="C635" s="697" t="s">
        <v>2708</v>
      </c>
      <c r="D635" s="697" t="s">
        <v>3779</v>
      </c>
      <c r="E635" s="697" t="s">
        <v>3781</v>
      </c>
      <c r="F635" s="701"/>
      <c r="G635" s="701"/>
      <c r="H635" s="701"/>
      <c r="I635" s="701"/>
      <c r="J635" s="701"/>
      <c r="K635" s="701"/>
      <c r="L635" s="701"/>
      <c r="M635" s="701"/>
      <c r="N635" s="701">
        <v>5</v>
      </c>
      <c r="O635" s="701">
        <v>9215</v>
      </c>
      <c r="P635" s="723"/>
      <c r="Q635" s="702">
        <v>1843</v>
      </c>
    </row>
    <row r="636" spans="1:17" ht="14.4" customHeight="1" x14ac:dyDescent="0.3">
      <c r="A636" s="696" t="s">
        <v>505</v>
      </c>
      <c r="B636" s="697" t="s">
        <v>3743</v>
      </c>
      <c r="C636" s="697" t="s">
        <v>2708</v>
      </c>
      <c r="D636" s="697" t="s">
        <v>3065</v>
      </c>
      <c r="E636" s="697" t="s">
        <v>3066</v>
      </c>
      <c r="F636" s="701">
        <v>1</v>
      </c>
      <c r="G636" s="701">
        <v>1229</v>
      </c>
      <c r="H636" s="701">
        <v>0.75260257195345992</v>
      </c>
      <c r="I636" s="701">
        <v>1229</v>
      </c>
      <c r="J636" s="701">
        <v>1</v>
      </c>
      <c r="K636" s="701">
        <v>1633</v>
      </c>
      <c r="L636" s="701">
        <v>1</v>
      </c>
      <c r="M636" s="701">
        <v>1633</v>
      </c>
      <c r="N636" s="701"/>
      <c r="O636" s="701"/>
      <c r="P636" s="723"/>
      <c r="Q636" s="702"/>
    </row>
    <row r="637" spans="1:17" ht="14.4" customHeight="1" x14ac:dyDescent="0.3">
      <c r="A637" s="696" t="s">
        <v>505</v>
      </c>
      <c r="B637" s="697" t="s">
        <v>3743</v>
      </c>
      <c r="C637" s="697" t="s">
        <v>2708</v>
      </c>
      <c r="D637" s="697" t="s">
        <v>3069</v>
      </c>
      <c r="E637" s="697" t="s">
        <v>3070</v>
      </c>
      <c r="F637" s="701">
        <v>1</v>
      </c>
      <c r="G637" s="701">
        <v>891</v>
      </c>
      <c r="H637" s="701"/>
      <c r="I637" s="701">
        <v>891</v>
      </c>
      <c r="J637" s="701"/>
      <c r="K637" s="701"/>
      <c r="L637" s="701"/>
      <c r="M637" s="701"/>
      <c r="N637" s="701"/>
      <c r="O637" s="701"/>
      <c r="P637" s="723"/>
      <c r="Q637" s="702"/>
    </row>
    <row r="638" spans="1:17" ht="14.4" customHeight="1" x14ac:dyDescent="0.3">
      <c r="A638" s="696" t="s">
        <v>505</v>
      </c>
      <c r="B638" s="697" t="s">
        <v>3743</v>
      </c>
      <c r="C638" s="697" t="s">
        <v>2708</v>
      </c>
      <c r="D638" s="697" t="s">
        <v>3071</v>
      </c>
      <c r="E638" s="697" t="s">
        <v>3072</v>
      </c>
      <c r="F638" s="701">
        <v>1</v>
      </c>
      <c r="G638" s="701">
        <v>710</v>
      </c>
      <c r="H638" s="701"/>
      <c r="I638" s="701">
        <v>710</v>
      </c>
      <c r="J638" s="701"/>
      <c r="K638" s="701"/>
      <c r="L638" s="701"/>
      <c r="M638" s="701"/>
      <c r="N638" s="701"/>
      <c r="O638" s="701"/>
      <c r="P638" s="723"/>
      <c r="Q638" s="702"/>
    </row>
    <row r="639" spans="1:17" ht="14.4" customHeight="1" x14ac:dyDescent="0.3">
      <c r="A639" s="696" t="s">
        <v>505</v>
      </c>
      <c r="B639" s="697" t="s">
        <v>3743</v>
      </c>
      <c r="C639" s="697" t="s">
        <v>2708</v>
      </c>
      <c r="D639" s="697" t="s">
        <v>3782</v>
      </c>
      <c r="E639" s="697" t="s">
        <v>3783</v>
      </c>
      <c r="F639" s="701">
        <v>1</v>
      </c>
      <c r="G639" s="701">
        <v>1033</v>
      </c>
      <c r="H639" s="701"/>
      <c r="I639" s="701">
        <v>1033</v>
      </c>
      <c r="J639" s="701"/>
      <c r="K639" s="701"/>
      <c r="L639" s="701"/>
      <c r="M639" s="701"/>
      <c r="N639" s="701"/>
      <c r="O639" s="701"/>
      <c r="P639" s="723"/>
      <c r="Q639" s="702"/>
    </row>
    <row r="640" spans="1:17" ht="14.4" customHeight="1" x14ac:dyDescent="0.3">
      <c r="A640" s="696" t="s">
        <v>505</v>
      </c>
      <c r="B640" s="697" t="s">
        <v>3743</v>
      </c>
      <c r="C640" s="697" t="s">
        <v>2708</v>
      </c>
      <c r="D640" s="697" t="s">
        <v>3784</v>
      </c>
      <c r="E640" s="697" t="s">
        <v>3785</v>
      </c>
      <c r="F640" s="701">
        <v>1</v>
      </c>
      <c r="G640" s="701">
        <v>2230</v>
      </c>
      <c r="H640" s="701"/>
      <c r="I640" s="701">
        <v>2230</v>
      </c>
      <c r="J640" s="701"/>
      <c r="K640" s="701"/>
      <c r="L640" s="701"/>
      <c r="M640" s="701"/>
      <c r="N640" s="701"/>
      <c r="O640" s="701"/>
      <c r="P640" s="723"/>
      <c r="Q640" s="702"/>
    </row>
    <row r="641" spans="1:17" ht="14.4" customHeight="1" x14ac:dyDescent="0.3">
      <c r="A641" s="696" t="s">
        <v>505</v>
      </c>
      <c r="B641" s="697" t="s">
        <v>3743</v>
      </c>
      <c r="C641" s="697" t="s">
        <v>2708</v>
      </c>
      <c r="D641" s="697" t="s">
        <v>3786</v>
      </c>
      <c r="E641" s="697" t="s">
        <v>3787</v>
      </c>
      <c r="F641" s="701">
        <v>1</v>
      </c>
      <c r="G641" s="701">
        <v>1915</v>
      </c>
      <c r="H641" s="701"/>
      <c r="I641" s="701">
        <v>1915</v>
      </c>
      <c r="J641" s="701"/>
      <c r="K641" s="701"/>
      <c r="L641" s="701"/>
      <c r="M641" s="701"/>
      <c r="N641" s="701"/>
      <c r="O641" s="701"/>
      <c r="P641" s="723"/>
      <c r="Q641" s="702"/>
    </row>
    <row r="642" spans="1:17" ht="14.4" customHeight="1" x14ac:dyDescent="0.3">
      <c r="A642" s="696" t="s">
        <v>505</v>
      </c>
      <c r="B642" s="697" t="s">
        <v>3743</v>
      </c>
      <c r="C642" s="697" t="s">
        <v>2708</v>
      </c>
      <c r="D642" s="697" t="s">
        <v>3788</v>
      </c>
      <c r="E642" s="697" t="s">
        <v>3789</v>
      </c>
      <c r="F642" s="701">
        <v>1</v>
      </c>
      <c r="G642" s="701">
        <v>3961</v>
      </c>
      <c r="H642" s="701"/>
      <c r="I642" s="701">
        <v>3961</v>
      </c>
      <c r="J642" s="701"/>
      <c r="K642" s="701"/>
      <c r="L642" s="701"/>
      <c r="M642" s="701"/>
      <c r="N642" s="701"/>
      <c r="O642" s="701"/>
      <c r="P642" s="723"/>
      <c r="Q642" s="702"/>
    </row>
    <row r="643" spans="1:17" ht="14.4" customHeight="1" x14ac:dyDescent="0.3">
      <c r="A643" s="696" t="s">
        <v>505</v>
      </c>
      <c r="B643" s="697" t="s">
        <v>3743</v>
      </c>
      <c r="C643" s="697" t="s">
        <v>2708</v>
      </c>
      <c r="D643" s="697" t="s">
        <v>3790</v>
      </c>
      <c r="E643" s="697" t="s">
        <v>3791</v>
      </c>
      <c r="F643" s="701"/>
      <c r="G643" s="701"/>
      <c r="H643" s="701"/>
      <c r="I643" s="701"/>
      <c r="J643" s="701"/>
      <c r="K643" s="701"/>
      <c r="L643" s="701"/>
      <c r="M643" s="701"/>
      <c r="N643" s="701">
        <v>1</v>
      </c>
      <c r="O643" s="701">
        <v>0</v>
      </c>
      <c r="P643" s="723"/>
      <c r="Q643" s="702">
        <v>0</v>
      </c>
    </row>
    <row r="644" spans="1:17" ht="14.4" customHeight="1" x14ac:dyDescent="0.3">
      <c r="A644" s="696" t="s">
        <v>505</v>
      </c>
      <c r="B644" s="697" t="s">
        <v>3792</v>
      </c>
      <c r="C644" s="697" t="s">
        <v>2708</v>
      </c>
      <c r="D644" s="697" t="s">
        <v>2742</v>
      </c>
      <c r="E644" s="697" t="s">
        <v>2743</v>
      </c>
      <c r="F644" s="701"/>
      <c r="G644" s="701"/>
      <c r="H644" s="701"/>
      <c r="I644" s="701"/>
      <c r="J644" s="701">
        <v>1</v>
      </c>
      <c r="K644" s="701">
        <v>1679</v>
      </c>
      <c r="L644" s="701">
        <v>1</v>
      </c>
      <c r="M644" s="701">
        <v>1679</v>
      </c>
      <c r="N644" s="701"/>
      <c r="O644" s="701"/>
      <c r="P644" s="723"/>
      <c r="Q644" s="702"/>
    </row>
    <row r="645" spans="1:17" ht="14.4" customHeight="1" x14ac:dyDescent="0.3">
      <c r="A645" s="696" t="s">
        <v>505</v>
      </c>
      <c r="B645" s="697" t="s">
        <v>3792</v>
      </c>
      <c r="C645" s="697" t="s">
        <v>2708</v>
      </c>
      <c r="D645" s="697" t="s">
        <v>2742</v>
      </c>
      <c r="E645" s="697" t="s">
        <v>2744</v>
      </c>
      <c r="F645" s="701"/>
      <c r="G645" s="701"/>
      <c r="H645" s="701"/>
      <c r="I645" s="701"/>
      <c r="J645" s="701"/>
      <c r="K645" s="701"/>
      <c r="L645" s="701"/>
      <c r="M645" s="701"/>
      <c r="N645" s="701">
        <v>1</v>
      </c>
      <c r="O645" s="701">
        <v>1681</v>
      </c>
      <c r="P645" s="723"/>
      <c r="Q645" s="702">
        <v>1681</v>
      </c>
    </row>
    <row r="646" spans="1:17" ht="14.4" customHeight="1" x14ac:dyDescent="0.3">
      <c r="A646" s="696" t="s">
        <v>505</v>
      </c>
      <c r="B646" s="697" t="s">
        <v>3793</v>
      </c>
      <c r="C646" s="697" t="s">
        <v>2708</v>
      </c>
      <c r="D646" s="697" t="s">
        <v>3794</v>
      </c>
      <c r="E646" s="697" t="s">
        <v>3795</v>
      </c>
      <c r="F646" s="701"/>
      <c r="G646" s="701"/>
      <c r="H646" s="701"/>
      <c r="I646" s="701"/>
      <c r="J646" s="701">
        <v>2</v>
      </c>
      <c r="K646" s="701">
        <v>274</v>
      </c>
      <c r="L646" s="701">
        <v>1</v>
      </c>
      <c r="M646" s="701">
        <v>137</v>
      </c>
      <c r="N646" s="701"/>
      <c r="O646" s="701"/>
      <c r="P646" s="723"/>
      <c r="Q646" s="702"/>
    </row>
    <row r="647" spans="1:17" ht="14.4" customHeight="1" x14ac:dyDescent="0.3">
      <c r="A647" s="696" t="s">
        <v>505</v>
      </c>
      <c r="B647" s="697" t="s">
        <v>3793</v>
      </c>
      <c r="C647" s="697" t="s">
        <v>2708</v>
      </c>
      <c r="D647" s="697" t="s">
        <v>3796</v>
      </c>
      <c r="E647" s="697" t="s">
        <v>3797</v>
      </c>
      <c r="F647" s="701"/>
      <c r="G647" s="701"/>
      <c r="H647" s="701"/>
      <c r="I647" s="701"/>
      <c r="J647" s="701">
        <v>2</v>
      </c>
      <c r="K647" s="701">
        <v>192</v>
      </c>
      <c r="L647" s="701">
        <v>1</v>
      </c>
      <c r="M647" s="701">
        <v>96</v>
      </c>
      <c r="N647" s="701"/>
      <c r="O647" s="701"/>
      <c r="P647" s="723"/>
      <c r="Q647" s="702"/>
    </row>
    <row r="648" spans="1:17" ht="14.4" customHeight="1" x14ac:dyDescent="0.3">
      <c r="A648" s="696" t="s">
        <v>505</v>
      </c>
      <c r="B648" s="697" t="s">
        <v>3793</v>
      </c>
      <c r="C648" s="697" t="s">
        <v>2708</v>
      </c>
      <c r="D648" s="697" t="s">
        <v>3798</v>
      </c>
      <c r="E648" s="697" t="s">
        <v>3799</v>
      </c>
      <c r="F648" s="701">
        <v>1</v>
      </c>
      <c r="G648" s="701">
        <v>751</v>
      </c>
      <c r="H648" s="701"/>
      <c r="I648" s="701">
        <v>751</v>
      </c>
      <c r="J648" s="701"/>
      <c r="K648" s="701"/>
      <c r="L648" s="701"/>
      <c r="M648" s="701"/>
      <c r="N648" s="701">
        <v>1</v>
      </c>
      <c r="O648" s="701">
        <v>753</v>
      </c>
      <c r="P648" s="723"/>
      <c r="Q648" s="702">
        <v>753</v>
      </c>
    </row>
    <row r="649" spans="1:17" ht="14.4" customHeight="1" x14ac:dyDescent="0.3">
      <c r="A649" s="696" t="s">
        <v>505</v>
      </c>
      <c r="B649" s="697" t="s">
        <v>3793</v>
      </c>
      <c r="C649" s="697" t="s">
        <v>2708</v>
      </c>
      <c r="D649" s="697" t="s">
        <v>3798</v>
      </c>
      <c r="E649" s="697" t="s">
        <v>3800</v>
      </c>
      <c r="F649" s="701"/>
      <c r="G649" s="701"/>
      <c r="H649" s="701"/>
      <c r="I649" s="701"/>
      <c r="J649" s="701">
        <v>1</v>
      </c>
      <c r="K649" s="701">
        <v>751</v>
      </c>
      <c r="L649" s="701">
        <v>1</v>
      </c>
      <c r="M649" s="701">
        <v>751</v>
      </c>
      <c r="N649" s="701">
        <v>1</v>
      </c>
      <c r="O649" s="701">
        <v>753</v>
      </c>
      <c r="P649" s="723">
        <v>1.0026631158455392</v>
      </c>
      <c r="Q649" s="702">
        <v>753</v>
      </c>
    </row>
    <row r="650" spans="1:17" ht="14.4" customHeight="1" x14ac:dyDescent="0.3">
      <c r="A650" s="696" t="s">
        <v>505</v>
      </c>
      <c r="B650" s="697" t="s">
        <v>3793</v>
      </c>
      <c r="C650" s="697" t="s">
        <v>2708</v>
      </c>
      <c r="D650" s="697" t="s">
        <v>3801</v>
      </c>
      <c r="E650" s="697" t="s">
        <v>3802</v>
      </c>
      <c r="F650" s="701">
        <v>3</v>
      </c>
      <c r="G650" s="701">
        <v>1083</v>
      </c>
      <c r="H650" s="701"/>
      <c r="I650" s="701">
        <v>361</v>
      </c>
      <c r="J650" s="701"/>
      <c r="K650" s="701"/>
      <c r="L650" s="701"/>
      <c r="M650" s="701"/>
      <c r="N650" s="701"/>
      <c r="O650" s="701"/>
      <c r="P650" s="723"/>
      <c r="Q650" s="702"/>
    </row>
    <row r="651" spans="1:17" ht="14.4" customHeight="1" x14ac:dyDescent="0.3">
      <c r="A651" s="696" t="s">
        <v>505</v>
      </c>
      <c r="B651" s="697" t="s">
        <v>3793</v>
      </c>
      <c r="C651" s="697" t="s">
        <v>2708</v>
      </c>
      <c r="D651" s="697" t="s">
        <v>3803</v>
      </c>
      <c r="E651" s="697" t="s">
        <v>3804</v>
      </c>
      <c r="F651" s="701"/>
      <c r="G651" s="701"/>
      <c r="H651" s="701"/>
      <c r="I651" s="701"/>
      <c r="J651" s="701">
        <v>1</v>
      </c>
      <c r="K651" s="701">
        <v>370</v>
      </c>
      <c r="L651" s="701">
        <v>1</v>
      </c>
      <c r="M651" s="701">
        <v>370</v>
      </c>
      <c r="N651" s="701"/>
      <c r="O651" s="701"/>
      <c r="P651" s="723"/>
      <c r="Q651" s="702"/>
    </row>
    <row r="652" spans="1:17" ht="14.4" customHeight="1" x14ac:dyDescent="0.3">
      <c r="A652" s="696" t="s">
        <v>505</v>
      </c>
      <c r="B652" s="697" t="s">
        <v>3793</v>
      </c>
      <c r="C652" s="697" t="s">
        <v>2708</v>
      </c>
      <c r="D652" s="697" t="s">
        <v>3805</v>
      </c>
      <c r="E652" s="697" t="s">
        <v>3806</v>
      </c>
      <c r="F652" s="701">
        <v>1</v>
      </c>
      <c r="G652" s="701">
        <v>980</v>
      </c>
      <c r="H652" s="701">
        <v>1</v>
      </c>
      <c r="I652" s="701">
        <v>980</v>
      </c>
      <c r="J652" s="701">
        <v>1</v>
      </c>
      <c r="K652" s="701">
        <v>980</v>
      </c>
      <c r="L652" s="701">
        <v>1</v>
      </c>
      <c r="M652" s="701">
        <v>980</v>
      </c>
      <c r="N652" s="701"/>
      <c r="O652" s="701"/>
      <c r="P652" s="723"/>
      <c r="Q652" s="702"/>
    </row>
    <row r="653" spans="1:17" ht="14.4" customHeight="1" x14ac:dyDescent="0.3">
      <c r="A653" s="696" t="s">
        <v>505</v>
      </c>
      <c r="B653" s="697" t="s">
        <v>3793</v>
      </c>
      <c r="C653" s="697" t="s">
        <v>2708</v>
      </c>
      <c r="D653" s="697" t="s">
        <v>3807</v>
      </c>
      <c r="E653" s="697" t="s">
        <v>3808</v>
      </c>
      <c r="F653" s="701"/>
      <c r="G653" s="701"/>
      <c r="H653" s="701"/>
      <c r="I653" s="701"/>
      <c r="J653" s="701">
        <v>1</v>
      </c>
      <c r="K653" s="701">
        <v>380</v>
      </c>
      <c r="L653" s="701">
        <v>1</v>
      </c>
      <c r="M653" s="701">
        <v>380</v>
      </c>
      <c r="N653" s="701"/>
      <c r="O653" s="701"/>
      <c r="P653" s="723"/>
      <c r="Q653" s="702"/>
    </row>
    <row r="654" spans="1:17" ht="14.4" customHeight="1" x14ac:dyDescent="0.3">
      <c r="A654" s="696" t="s">
        <v>505</v>
      </c>
      <c r="B654" s="697" t="s">
        <v>3793</v>
      </c>
      <c r="C654" s="697" t="s">
        <v>2708</v>
      </c>
      <c r="D654" s="697" t="s">
        <v>3807</v>
      </c>
      <c r="E654" s="697" t="s">
        <v>3809</v>
      </c>
      <c r="F654" s="701">
        <v>1</v>
      </c>
      <c r="G654" s="701">
        <v>379</v>
      </c>
      <c r="H654" s="701"/>
      <c r="I654" s="701">
        <v>379</v>
      </c>
      <c r="J654" s="701"/>
      <c r="K654" s="701"/>
      <c r="L654" s="701"/>
      <c r="M654" s="701"/>
      <c r="N654" s="701"/>
      <c r="O654" s="701"/>
      <c r="P654" s="723"/>
      <c r="Q654" s="702"/>
    </row>
    <row r="655" spans="1:17" ht="14.4" customHeight="1" x14ac:dyDescent="0.3">
      <c r="A655" s="696" t="s">
        <v>505</v>
      </c>
      <c r="B655" s="697" t="s">
        <v>3793</v>
      </c>
      <c r="C655" s="697" t="s">
        <v>2708</v>
      </c>
      <c r="D655" s="697" t="s">
        <v>3752</v>
      </c>
      <c r="E655" s="697" t="s">
        <v>3753</v>
      </c>
      <c r="F655" s="701"/>
      <c r="G655" s="701"/>
      <c r="H655" s="701"/>
      <c r="I655" s="701"/>
      <c r="J655" s="701"/>
      <c r="K655" s="701"/>
      <c r="L655" s="701"/>
      <c r="M655" s="701"/>
      <c r="N655" s="701">
        <v>1</v>
      </c>
      <c r="O655" s="701">
        <v>1034</v>
      </c>
      <c r="P655" s="723"/>
      <c r="Q655" s="702">
        <v>1034</v>
      </c>
    </row>
    <row r="656" spans="1:17" ht="14.4" customHeight="1" x14ac:dyDescent="0.3">
      <c r="A656" s="696" t="s">
        <v>505</v>
      </c>
      <c r="B656" s="697" t="s">
        <v>3793</v>
      </c>
      <c r="C656" s="697" t="s">
        <v>2708</v>
      </c>
      <c r="D656" s="697" t="s">
        <v>3754</v>
      </c>
      <c r="E656" s="697" t="s">
        <v>3755</v>
      </c>
      <c r="F656" s="701"/>
      <c r="G656" s="701"/>
      <c r="H656" s="701"/>
      <c r="I656" s="701"/>
      <c r="J656" s="701"/>
      <c r="K656" s="701"/>
      <c r="L656" s="701"/>
      <c r="M656" s="701"/>
      <c r="N656" s="701">
        <v>1</v>
      </c>
      <c r="O656" s="701">
        <v>2103</v>
      </c>
      <c r="P656" s="723"/>
      <c r="Q656" s="702">
        <v>2103</v>
      </c>
    </row>
    <row r="657" spans="1:17" ht="14.4" customHeight="1" x14ac:dyDescent="0.3">
      <c r="A657" s="696" t="s">
        <v>505</v>
      </c>
      <c r="B657" s="697" t="s">
        <v>3793</v>
      </c>
      <c r="C657" s="697" t="s">
        <v>2708</v>
      </c>
      <c r="D657" s="697" t="s">
        <v>3810</v>
      </c>
      <c r="E657" s="697" t="s">
        <v>3811</v>
      </c>
      <c r="F657" s="701"/>
      <c r="G657" s="701"/>
      <c r="H657" s="701"/>
      <c r="I657" s="701"/>
      <c r="J657" s="701">
        <v>1</v>
      </c>
      <c r="K657" s="701">
        <v>7326</v>
      </c>
      <c r="L657" s="701">
        <v>1</v>
      </c>
      <c r="M657" s="701">
        <v>7326</v>
      </c>
      <c r="N657" s="701"/>
      <c r="O657" s="701"/>
      <c r="P657" s="723"/>
      <c r="Q657" s="702"/>
    </row>
    <row r="658" spans="1:17" ht="14.4" customHeight="1" x14ac:dyDescent="0.3">
      <c r="A658" s="696" t="s">
        <v>505</v>
      </c>
      <c r="B658" s="697" t="s">
        <v>3793</v>
      </c>
      <c r="C658" s="697" t="s">
        <v>2708</v>
      </c>
      <c r="D658" s="697" t="s">
        <v>3810</v>
      </c>
      <c r="E658" s="697" t="s">
        <v>3812</v>
      </c>
      <c r="F658" s="701"/>
      <c r="G658" s="701"/>
      <c r="H658" s="701"/>
      <c r="I658" s="701"/>
      <c r="J658" s="701">
        <v>1</v>
      </c>
      <c r="K658" s="701">
        <v>7326</v>
      </c>
      <c r="L658" s="701">
        <v>1</v>
      </c>
      <c r="M658" s="701">
        <v>7326</v>
      </c>
      <c r="N658" s="701">
        <v>1</v>
      </c>
      <c r="O658" s="701">
        <v>7345</v>
      </c>
      <c r="P658" s="723">
        <v>1.0025935025935027</v>
      </c>
      <c r="Q658" s="702">
        <v>7345</v>
      </c>
    </row>
    <row r="659" spans="1:17" ht="14.4" customHeight="1" x14ac:dyDescent="0.3">
      <c r="A659" s="696" t="s">
        <v>505</v>
      </c>
      <c r="B659" s="697" t="s">
        <v>3793</v>
      </c>
      <c r="C659" s="697" t="s">
        <v>2708</v>
      </c>
      <c r="D659" s="697" t="s">
        <v>3813</v>
      </c>
      <c r="E659" s="697" t="s">
        <v>3814</v>
      </c>
      <c r="F659" s="701"/>
      <c r="G659" s="701"/>
      <c r="H659" s="701"/>
      <c r="I659" s="701"/>
      <c r="J659" s="701">
        <v>1</v>
      </c>
      <c r="K659" s="701">
        <v>1143</v>
      </c>
      <c r="L659" s="701">
        <v>1</v>
      </c>
      <c r="M659" s="701">
        <v>1143</v>
      </c>
      <c r="N659" s="701"/>
      <c r="O659" s="701"/>
      <c r="P659" s="723"/>
      <c r="Q659" s="702"/>
    </row>
    <row r="660" spans="1:17" ht="14.4" customHeight="1" x14ac:dyDescent="0.3">
      <c r="A660" s="696" t="s">
        <v>505</v>
      </c>
      <c r="B660" s="697" t="s">
        <v>3793</v>
      </c>
      <c r="C660" s="697" t="s">
        <v>2708</v>
      </c>
      <c r="D660" s="697" t="s">
        <v>3815</v>
      </c>
      <c r="E660" s="697" t="s">
        <v>3816</v>
      </c>
      <c r="F660" s="701"/>
      <c r="G660" s="701"/>
      <c r="H660" s="701"/>
      <c r="I660" s="701"/>
      <c r="J660" s="701">
        <v>1</v>
      </c>
      <c r="K660" s="701">
        <v>712</v>
      </c>
      <c r="L660" s="701">
        <v>1</v>
      </c>
      <c r="M660" s="701">
        <v>712</v>
      </c>
      <c r="N660" s="701"/>
      <c r="O660" s="701"/>
      <c r="P660" s="723"/>
      <c r="Q660" s="702"/>
    </row>
    <row r="661" spans="1:17" ht="14.4" customHeight="1" x14ac:dyDescent="0.3">
      <c r="A661" s="696" t="s">
        <v>505</v>
      </c>
      <c r="B661" s="697" t="s">
        <v>3793</v>
      </c>
      <c r="C661" s="697" t="s">
        <v>2708</v>
      </c>
      <c r="D661" s="697" t="s">
        <v>3815</v>
      </c>
      <c r="E661" s="697" t="s">
        <v>3817</v>
      </c>
      <c r="F661" s="701">
        <v>1</v>
      </c>
      <c r="G661" s="701">
        <v>711</v>
      </c>
      <c r="H661" s="701"/>
      <c r="I661" s="701">
        <v>711</v>
      </c>
      <c r="J661" s="701"/>
      <c r="K661" s="701"/>
      <c r="L661" s="701"/>
      <c r="M661" s="701"/>
      <c r="N661" s="701">
        <v>1</v>
      </c>
      <c r="O661" s="701">
        <v>714</v>
      </c>
      <c r="P661" s="723"/>
      <c r="Q661" s="702">
        <v>714</v>
      </c>
    </row>
    <row r="662" spans="1:17" ht="14.4" customHeight="1" x14ac:dyDescent="0.3">
      <c r="A662" s="696" t="s">
        <v>505</v>
      </c>
      <c r="B662" s="697" t="s">
        <v>3793</v>
      </c>
      <c r="C662" s="697" t="s">
        <v>2708</v>
      </c>
      <c r="D662" s="697" t="s">
        <v>3818</v>
      </c>
      <c r="E662" s="697" t="s">
        <v>3819</v>
      </c>
      <c r="F662" s="701">
        <v>1</v>
      </c>
      <c r="G662" s="701">
        <v>417</v>
      </c>
      <c r="H662" s="701"/>
      <c r="I662" s="701">
        <v>417</v>
      </c>
      <c r="J662" s="701"/>
      <c r="K662" s="701"/>
      <c r="L662" s="701"/>
      <c r="M662" s="701"/>
      <c r="N662" s="701"/>
      <c r="O662" s="701"/>
      <c r="P662" s="723"/>
      <c r="Q662" s="702"/>
    </row>
    <row r="663" spans="1:17" ht="14.4" customHeight="1" x14ac:dyDescent="0.3">
      <c r="A663" s="696" t="s">
        <v>505</v>
      </c>
      <c r="B663" s="697" t="s">
        <v>3793</v>
      </c>
      <c r="C663" s="697" t="s">
        <v>2708</v>
      </c>
      <c r="D663" s="697" t="s">
        <v>2767</v>
      </c>
      <c r="E663" s="697" t="s">
        <v>2768</v>
      </c>
      <c r="F663" s="701"/>
      <c r="G663" s="701"/>
      <c r="H663" s="701"/>
      <c r="I663" s="701"/>
      <c r="J663" s="701">
        <v>1</v>
      </c>
      <c r="K663" s="701">
        <v>837</v>
      </c>
      <c r="L663" s="701">
        <v>1</v>
      </c>
      <c r="M663" s="701">
        <v>837</v>
      </c>
      <c r="N663" s="701"/>
      <c r="O663" s="701"/>
      <c r="P663" s="723"/>
      <c r="Q663" s="702"/>
    </row>
    <row r="664" spans="1:17" ht="14.4" customHeight="1" x14ac:dyDescent="0.3">
      <c r="A664" s="696" t="s">
        <v>505</v>
      </c>
      <c r="B664" s="697" t="s">
        <v>3793</v>
      </c>
      <c r="C664" s="697" t="s">
        <v>2708</v>
      </c>
      <c r="D664" s="697" t="s">
        <v>2767</v>
      </c>
      <c r="E664" s="697" t="s">
        <v>2769</v>
      </c>
      <c r="F664" s="701"/>
      <c r="G664" s="701"/>
      <c r="H664" s="701"/>
      <c r="I664" s="701"/>
      <c r="J664" s="701">
        <v>1</v>
      </c>
      <c r="K664" s="701">
        <v>837</v>
      </c>
      <c r="L664" s="701">
        <v>1</v>
      </c>
      <c r="M664" s="701">
        <v>837</v>
      </c>
      <c r="N664" s="701">
        <v>3</v>
      </c>
      <c r="O664" s="701">
        <v>2517</v>
      </c>
      <c r="P664" s="723">
        <v>3.0071684587813619</v>
      </c>
      <c r="Q664" s="702">
        <v>839</v>
      </c>
    </row>
    <row r="665" spans="1:17" ht="14.4" customHeight="1" x14ac:dyDescent="0.3">
      <c r="A665" s="696" t="s">
        <v>505</v>
      </c>
      <c r="B665" s="697" t="s">
        <v>3793</v>
      </c>
      <c r="C665" s="697" t="s">
        <v>2708</v>
      </c>
      <c r="D665" s="697" t="s">
        <v>3770</v>
      </c>
      <c r="E665" s="697" t="s">
        <v>3771</v>
      </c>
      <c r="F665" s="701">
        <v>3</v>
      </c>
      <c r="G665" s="701">
        <v>8280</v>
      </c>
      <c r="H665" s="701"/>
      <c r="I665" s="701">
        <v>2760</v>
      </c>
      <c r="J665" s="701"/>
      <c r="K665" s="701"/>
      <c r="L665" s="701"/>
      <c r="M665" s="701"/>
      <c r="N665" s="701">
        <v>2</v>
      </c>
      <c r="O665" s="701">
        <v>5529</v>
      </c>
      <c r="P665" s="723"/>
      <c r="Q665" s="702">
        <v>2764.5</v>
      </c>
    </row>
    <row r="666" spans="1:17" ht="14.4" customHeight="1" x14ac:dyDescent="0.3">
      <c r="A666" s="696" t="s">
        <v>505</v>
      </c>
      <c r="B666" s="697" t="s">
        <v>3793</v>
      </c>
      <c r="C666" s="697" t="s">
        <v>2708</v>
      </c>
      <c r="D666" s="697" t="s">
        <v>3820</v>
      </c>
      <c r="E666" s="697" t="s">
        <v>3821</v>
      </c>
      <c r="F666" s="701">
        <v>7</v>
      </c>
      <c r="G666" s="701">
        <v>17927</v>
      </c>
      <c r="H666" s="701">
        <v>0.87397620904836193</v>
      </c>
      <c r="I666" s="701">
        <v>2561</v>
      </c>
      <c r="J666" s="701">
        <v>8</v>
      </c>
      <c r="K666" s="701">
        <v>20512</v>
      </c>
      <c r="L666" s="701">
        <v>1</v>
      </c>
      <c r="M666" s="701">
        <v>2564</v>
      </c>
      <c r="N666" s="701">
        <v>3</v>
      </c>
      <c r="O666" s="701">
        <v>7713</v>
      </c>
      <c r="P666" s="723">
        <v>0.37602379095163807</v>
      </c>
      <c r="Q666" s="702">
        <v>2571</v>
      </c>
    </row>
    <row r="667" spans="1:17" ht="14.4" customHeight="1" x14ac:dyDescent="0.3">
      <c r="A667" s="696" t="s">
        <v>505</v>
      </c>
      <c r="B667" s="697" t="s">
        <v>3793</v>
      </c>
      <c r="C667" s="697" t="s">
        <v>2708</v>
      </c>
      <c r="D667" s="697" t="s">
        <v>3822</v>
      </c>
      <c r="E667" s="697" t="s">
        <v>3823</v>
      </c>
      <c r="F667" s="701"/>
      <c r="G667" s="701"/>
      <c r="H667" s="701"/>
      <c r="I667" s="701"/>
      <c r="J667" s="701">
        <v>1</v>
      </c>
      <c r="K667" s="701">
        <v>3121</v>
      </c>
      <c r="L667" s="701">
        <v>1</v>
      </c>
      <c r="M667" s="701">
        <v>3121</v>
      </c>
      <c r="N667" s="701"/>
      <c r="O667" s="701"/>
      <c r="P667" s="723"/>
      <c r="Q667" s="702"/>
    </row>
    <row r="668" spans="1:17" ht="14.4" customHeight="1" x14ac:dyDescent="0.3">
      <c r="A668" s="696" t="s">
        <v>505</v>
      </c>
      <c r="B668" s="697" t="s">
        <v>3793</v>
      </c>
      <c r="C668" s="697" t="s">
        <v>2708</v>
      </c>
      <c r="D668" s="697" t="s">
        <v>3824</v>
      </c>
      <c r="E668" s="697" t="s">
        <v>3825</v>
      </c>
      <c r="F668" s="701">
        <v>2</v>
      </c>
      <c r="G668" s="701">
        <v>1288</v>
      </c>
      <c r="H668" s="701"/>
      <c r="I668" s="701">
        <v>644</v>
      </c>
      <c r="J668" s="701"/>
      <c r="K668" s="701"/>
      <c r="L668" s="701"/>
      <c r="M668" s="701"/>
      <c r="N668" s="701"/>
      <c r="O668" s="701"/>
      <c r="P668" s="723"/>
      <c r="Q668" s="702"/>
    </row>
    <row r="669" spans="1:17" ht="14.4" customHeight="1" x14ac:dyDescent="0.3">
      <c r="A669" s="696" t="s">
        <v>505</v>
      </c>
      <c r="B669" s="697" t="s">
        <v>3793</v>
      </c>
      <c r="C669" s="697" t="s">
        <v>2708</v>
      </c>
      <c r="D669" s="697" t="s">
        <v>3826</v>
      </c>
      <c r="E669" s="697" t="s">
        <v>3827</v>
      </c>
      <c r="F669" s="701"/>
      <c r="G669" s="701"/>
      <c r="H669" s="701"/>
      <c r="I669" s="701"/>
      <c r="J669" s="701">
        <v>1</v>
      </c>
      <c r="K669" s="701">
        <v>1549</v>
      </c>
      <c r="L669" s="701">
        <v>1</v>
      </c>
      <c r="M669" s="701">
        <v>1549</v>
      </c>
      <c r="N669" s="701">
        <v>1</v>
      </c>
      <c r="O669" s="701">
        <v>1554</v>
      </c>
      <c r="P669" s="723">
        <v>1.0032278889606197</v>
      </c>
      <c r="Q669" s="702">
        <v>1554</v>
      </c>
    </row>
    <row r="670" spans="1:17" ht="14.4" customHeight="1" x14ac:dyDescent="0.3">
      <c r="A670" s="696" t="s">
        <v>505</v>
      </c>
      <c r="B670" s="697" t="s">
        <v>3793</v>
      </c>
      <c r="C670" s="697" t="s">
        <v>2708</v>
      </c>
      <c r="D670" s="697" t="s">
        <v>3828</v>
      </c>
      <c r="E670" s="697" t="s">
        <v>3829</v>
      </c>
      <c r="F670" s="701"/>
      <c r="G670" s="701"/>
      <c r="H670" s="701"/>
      <c r="I670" s="701"/>
      <c r="J670" s="701"/>
      <c r="K670" s="701"/>
      <c r="L670" s="701"/>
      <c r="M670" s="701"/>
      <c r="N670" s="701">
        <v>1</v>
      </c>
      <c r="O670" s="701">
        <v>3316</v>
      </c>
      <c r="P670" s="723"/>
      <c r="Q670" s="702">
        <v>3316</v>
      </c>
    </row>
    <row r="671" spans="1:17" ht="14.4" customHeight="1" x14ac:dyDescent="0.3">
      <c r="A671" s="696" t="s">
        <v>505</v>
      </c>
      <c r="B671" s="697" t="s">
        <v>3793</v>
      </c>
      <c r="C671" s="697" t="s">
        <v>2708</v>
      </c>
      <c r="D671" s="697" t="s">
        <v>3828</v>
      </c>
      <c r="E671" s="697" t="s">
        <v>3830</v>
      </c>
      <c r="F671" s="701">
        <v>1</v>
      </c>
      <c r="G671" s="701">
        <v>3308</v>
      </c>
      <c r="H671" s="701"/>
      <c r="I671" s="701">
        <v>3308</v>
      </c>
      <c r="J671" s="701"/>
      <c r="K671" s="701"/>
      <c r="L671" s="701"/>
      <c r="M671" s="701"/>
      <c r="N671" s="701"/>
      <c r="O671" s="701"/>
      <c r="P671" s="723"/>
      <c r="Q671" s="702"/>
    </row>
    <row r="672" spans="1:17" ht="14.4" customHeight="1" x14ac:dyDescent="0.3">
      <c r="A672" s="696" t="s">
        <v>505</v>
      </c>
      <c r="B672" s="697" t="s">
        <v>3793</v>
      </c>
      <c r="C672" s="697" t="s">
        <v>2708</v>
      </c>
      <c r="D672" s="697" t="s">
        <v>3831</v>
      </c>
      <c r="E672" s="697" t="s">
        <v>3832</v>
      </c>
      <c r="F672" s="701"/>
      <c r="G672" s="701"/>
      <c r="H672" s="701"/>
      <c r="I672" s="701"/>
      <c r="J672" s="701"/>
      <c r="K672" s="701"/>
      <c r="L672" s="701"/>
      <c r="M672" s="701"/>
      <c r="N672" s="701">
        <v>3</v>
      </c>
      <c r="O672" s="701">
        <v>5584</v>
      </c>
      <c r="P672" s="723"/>
      <c r="Q672" s="702">
        <v>1861.3333333333333</v>
      </c>
    </row>
    <row r="673" spans="1:17" ht="14.4" customHeight="1" x14ac:dyDescent="0.3">
      <c r="A673" s="696" t="s">
        <v>505</v>
      </c>
      <c r="B673" s="697" t="s">
        <v>3833</v>
      </c>
      <c r="C673" s="697" t="s">
        <v>2708</v>
      </c>
      <c r="D673" s="697" t="s">
        <v>3834</v>
      </c>
      <c r="E673" s="697" t="s">
        <v>3835</v>
      </c>
      <c r="F673" s="701"/>
      <c r="G673" s="701"/>
      <c r="H673" s="701"/>
      <c r="I673" s="701"/>
      <c r="J673" s="701"/>
      <c r="K673" s="701"/>
      <c r="L673" s="701"/>
      <c r="M673" s="701"/>
      <c r="N673" s="701">
        <v>1</v>
      </c>
      <c r="O673" s="701">
        <v>5383</v>
      </c>
      <c r="P673" s="723"/>
      <c r="Q673" s="702">
        <v>5383</v>
      </c>
    </row>
    <row r="674" spans="1:17" ht="14.4" customHeight="1" x14ac:dyDescent="0.3">
      <c r="A674" s="696" t="s">
        <v>505</v>
      </c>
      <c r="B674" s="697" t="s">
        <v>3833</v>
      </c>
      <c r="C674" s="697" t="s">
        <v>2708</v>
      </c>
      <c r="D674" s="697" t="s">
        <v>3834</v>
      </c>
      <c r="E674" s="697" t="s">
        <v>3836</v>
      </c>
      <c r="F674" s="701"/>
      <c r="G674" s="701"/>
      <c r="H674" s="701"/>
      <c r="I674" s="701"/>
      <c r="J674" s="701">
        <v>1</v>
      </c>
      <c r="K674" s="701">
        <v>5376</v>
      </c>
      <c r="L674" s="701">
        <v>1</v>
      </c>
      <c r="M674" s="701">
        <v>5376</v>
      </c>
      <c r="N674" s="701"/>
      <c r="O674" s="701"/>
      <c r="P674" s="723"/>
      <c r="Q674" s="702"/>
    </row>
    <row r="675" spans="1:17" ht="14.4" customHeight="1" x14ac:dyDescent="0.3">
      <c r="A675" s="696" t="s">
        <v>505</v>
      </c>
      <c r="B675" s="697" t="s">
        <v>3833</v>
      </c>
      <c r="C675" s="697" t="s">
        <v>2708</v>
      </c>
      <c r="D675" s="697" t="s">
        <v>3837</v>
      </c>
      <c r="E675" s="697" t="s">
        <v>3838</v>
      </c>
      <c r="F675" s="701"/>
      <c r="G675" s="701"/>
      <c r="H675" s="701"/>
      <c r="I675" s="701"/>
      <c r="J675" s="701"/>
      <c r="K675" s="701"/>
      <c r="L675" s="701"/>
      <c r="M675" s="701"/>
      <c r="N675" s="701">
        <v>1</v>
      </c>
      <c r="O675" s="701">
        <v>3738</v>
      </c>
      <c r="P675" s="723"/>
      <c r="Q675" s="702">
        <v>3738</v>
      </c>
    </row>
    <row r="676" spans="1:17" ht="14.4" customHeight="1" x14ac:dyDescent="0.3">
      <c r="A676" s="696" t="s">
        <v>505</v>
      </c>
      <c r="B676" s="697" t="s">
        <v>3833</v>
      </c>
      <c r="C676" s="697" t="s">
        <v>2708</v>
      </c>
      <c r="D676" s="697" t="s">
        <v>3025</v>
      </c>
      <c r="E676" s="697" t="s">
        <v>3027</v>
      </c>
      <c r="F676" s="701"/>
      <c r="G676" s="701"/>
      <c r="H676" s="701"/>
      <c r="I676" s="701"/>
      <c r="J676" s="701"/>
      <c r="K676" s="701"/>
      <c r="L676" s="701"/>
      <c r="M676" s="701"/>
      <c r="N676" s="701">
        <v>1</v>
      </c>
      <c r="O676" s="701">
        <v>1313</v>
      </c>
      <c r="P676" s="723"/>
      <c r="Q676" s="702">
        <v>1313</v>
      </c>
    </row>
    <row r="677" spans="1:17" ht="14.4" customHeight="1" x14ac:dyDescent="0.3">
      <c r="A677" s="696" t="s">
        <v>505</v>
      </c>
      <c r="B677" s="697" t="s">
        <v>3833</v>
      </c>
      <c r="C677" s="697" t="s">
        <v>2708</v>
      </c>
      <c r="D677" s="697" t="s">
        <v>3839</v>
      </c>
      <c r="E677" s="697" t="s">
        <v>3840</v>
      </c>
      <c r="F677" s="701"/>
      <c r="G677" s="701"/>
      <c r="H677" s="701"/>
      <c r="I677" s="701"/>
      <c r="J677" s="701">
        <v>1</v>
      </c>
      <c r="K677" s="701">
        <v>2216</v>
      </c>
      <c r="L677" s="701">
        <v>1</v>
      </c>
      <c r="M677" s="701">
        <v>2216</v>
      </c>
      <c r="N677" s="701"/>
      <c r="O677" s="701"/>
      <c r="P677" s="723"/>
      <c r="Q677" s="702"/>
    </row>
    <row r="678" spans="1:17" ht="14.4" customHeight="1" x14ac:dyDescent="0.3">
      <c r="A678" s="696" t="s">
        <v>505</v>
      </c>
      <c r="B678" s="697" t="s">
        <v>3833</v>
      </c>
      <c r="C678" s="697" t="s">
        <v>2708</v>
      </c>
      <c r="D678" s="697" t="s">
        <v>3841</v>
      </c>
      <c r="E678" s="697" t="s">
        <v>3842</v>
      </c>
      <c r="F678" s="701"/>
      <c r="G678" s="701"/>
      <c r="H678" s="701"/>
      <c r="I678" s="701"/>
      <c r="J678" s="701"/>
      <c r="K678" s="701"/>
      <c r="L678" s="701"/>
      <c r="M678" s="701"/>
      <c r="N678" s="701">
        <v>1</v>
      </c>
      <c r="O678" s="701">
        <v>0</v>
      </c>
      <c r="P678" s="723"/>
      <c r="Q678" s="702">
        <v>0</v>
      </c>
    </row>
    <row r="679" spans="1:17" ht="14.4" customHeight="1" x14ac:dyDescent="0.3">
      <c r="A679" s="696" t="s">
        <v>505</v>
      </c>
      <c r="B679" s="697" t="s">
        <v>3833</v>
      </c>
      <c r="C679" s="697" t="s">
        <v>2708</v>
      </c>
      <c r="D679" s="697" t="s">
        <v>3841</v>
      </c>
      <c r="E679" s="697" t="s">
        <v>3843</v>
      </c>
      <c r="F679" s="701"/>
      <c r="G679" s="701"/>
      <c r="H679" s="701"/>
      <c r="I679" s="701"/>
      <c r="J679" s="701">
        <v>1</v>
      </c>
      <c r="K679" s="701">
        <v>0</v>
      </c>
      <c r="L679" s="701"/>
      <c r="M679" s="701">
        <v>0</v>
      </c>
      <c r="N679" s="701"/>
      <c r="O679" s="701"/>
      <c r="P679" s="723"/>
      <c r="Q679" s="702"/>
    </row>
    <row r="680" spans="1:17" ht="14.4" customHeight="1" x14ac:dyDescent="0.3">
      <c r="A680" s="696" t="s">
        <v>505</v>
      </c>
      <c r="B680" s="697" t="s">
        <v>3833</v>
      </c>
      <c r="C680" s="697" t="s">
        <v>2708</v>
      </c>
      <c r="D680" s="697" t="s">
        <v>3844</v>
      </c>
      <c r="E680" s="697" t="s">
        <v>3845</v>
      </c>
      <c r="F680" s="701"/>
      <c r="G680" s="701"/>
      <c r="H680" s="701"/>
      <c r="I680" s="701"/>
      <c r="J680" s="701">
        <v>1</v>
      </c>
      <c r="K680" s="701">
        <v>933</v>
      </c>
      <c r="L680" s="701">
        <v>1</v>
      </c>
      <c r="M680" s="701">
        <v>933</v>
      </c>
      <c r="N680" s="701"/>
      <c r="O680" s="701"/>
      <c r="P680" s="723"/>
      <c r="Q680" s="702"/>
    </row>
    <row r="681" spans="1:17" ht="14.4" customHeight="1" x14ac:dyDescent="0.3">
      <c r="A681" s="696" t="s">
        <v>505</v>
      </c>
      <c r="B681" s="697" t="s">
        <v>3833</v>
      </c>
      <c r="C681" s="697" t="s">
        <v>2708</v>
      </c>
      <c r="D681" s="697" t="s">
        <v>3846</v>
      </c>
      <c r="E681" s="697" t="s">
        <v>3847</v>
      </c>
      <c r="F681" s="701"/>
      <c r="G681" s="701"/>
      <c r="H681" s="701"/>
      <c r="I681" s="701"/>
      <c r="J681" s="701">
        <v>1</v>
      </c>
      <c r="K681" s="701">
        <v>3449</v>
      </c>
      <c r="L681" s="701">
        <v>1</v>
      </c>
      <c r="M681" s="701">
        <v>3449</v>
      </c>
      <c r="N681" s="701"/>
      <c r="O681" s="701"/>
      <c r="P681" s="723"/>
      <c r="Q681" s="702"/>
    </row>
    <row r="682" spans="1:17" ht="14.4" customHeight="1" x14ac:dyDescent="0.3">
      <c r="A682" s="696" t="s">
        <v>505</v>
      </c>
      <c r="B682" s="697" t="s">
        <v>3848</v>
      </c>
      <c r="C682" s="697" t="s">
        <v>2708</v>
      </c>
      <c r="D682" s="697" t="s">
        <v>3849</v>
      </c>
      <c r="E682" s="697" t="s">
        <v>3850</v>
      </c>
      <c r="F682" s="701"/>
      <c r="G682" s="701"/>
      <c r="H682" s="701"/>
      <c r="I682" s="701"/>
      <c r="J682" s="701">
        <v>1</v>
      </c>
      <c r="K682" s="701">
        <v>113</v>
      </c>
      <c r="L682" s="701">
        <v>1</v>
      </c>
      <c r="M682" s="701">
        <v>113</v>
      </c>
      <c r="N682" s="701"/>
      <c r="O682" s="701"/>
      <c r="P682" s="723"/>
      <c r="Q682" s="702"/>
    </row>
    <row r="683" spans="1:17" ht="14.4" customHeight="1" x14ac:dyDescent="0.3">
      <c r="A683" s="696" t="s">
        <v>505</v>
      </c>
      <c r="B683" s="697" t="s">
        <v>3851</v>
      </c>
      <c r="C683" s="697" t="s">
        <v>2708</v>
      </c>
      <c r="D683" s="697" t="s">
        <v>3852</v>
      </c>
      <c r="E683" s="697" t="s">
        <v>3853</v>
      </c>
      <c r="F683" s="701">
        <v>1</v>
      </c>
      <c r="G683" s="701">
        <v>432</v>
      </c>
      <c r="H683" s="701"/>
      <c r="I683" s="701">
        <v>432</v>
      </c>
      <c r="J683" s="701"/>
      <c r="K683" s="701"/>
      <c r="L683" s="701"/>
      <c r="M683" s="701"/>
      <c r="N683" s="701"/>
      <c r="O683" s="701"/>
      <c r="P683" s="723"/>
      <c r="Q683" s="702"/>
    </row>
    <row r="684" spans="1:17" ht="14.4" customHeight="1" x14ac:dyDescent="0.3">
      <c r="A684" s="696" t="s">
        <v>505</v>
      </c>
      <c r="B684" s="697" t="s">
        <v>3851</v>
      </c>
      <c r="C684" s="697" t="s">
        <v>2708</v>
      </c>
      <c r="D684" s="697" t="s">
        <v>3854</v>
      </c>
      <c r="E684" s="697" t="s">
        <v>3855</v>
      </c>
      <c r="F684" s="701"/>
      <c r="G684" s="701"/>
      <c r="H684" s="701"/>
      <c r="I684" s="701"/>
      <c r="J684" s="701">
        <v>2</v>
      </c>
      <c r="K684" s="701">
        <v>526</v>
      </c>
      <c r="L684" s="701">
        <v>1</v>
      </c>
      <c r="M684" s="701">
        <v>263</v>
      </c>
      <c r="N684" s="701"/>
      <c r="O684" s="701"/>
      <c r="P684" s="723"/>
      <c r="Q684" s="702"/>
    </row>
    <row r="685" spans="1:17" ht="14.4" customHeight="1" x14ac:dyDescent="0.3">
      <c r="A685" s="696" t="s">
        <v>505</v>
      </c>
      <c r="B685" s="697" t="s">
        <v>3851</v>
      </c>
      <c r="C685" s="697" t="s">
        <v>2708</v>
      </c>
      <c r="D685" s="697" t="s">
        <v>3854</v>
      </c>
      <c r="E685" s="697" t="s">
        <v>3856</v>
      </c>
      <c r="F685" s="701"/>
      <c r="G685" s="701"/>
      <c r="H685" s="701"/>
      <c r="I685" s="701"/>
      <c r="J685" s="701">
        <v>2</v>
      </c>
      <c r="K685" s="701">
        <v>526</v>
      </c>
      <c r="L685" s="701">
        <v>1</v>
      </c>
      <c r="M685" s="701">
        <v>263</v>
      </c>
      <c r="N685" s="701">
        <v>2</v>
      </c>
      <c r="O685" s="701">
        <v>528</v>
      </c>
      <c r="P685" s="723">
        <v>1.0038022813688212</v>
      </c>
      <c r="Q685" s="702">
        <v>264</v>
      </c>
    </row>
    <row r="686" spans="1:17" ht="14.4" customHeight="1" x14ac:dyDescent="0.3">
      <c r="A686" s="696" t="s">
        <v>505</v>
      </c>
      <c r="B686" s="697" t="s">
        <v>3851</v>
      </c>
      <c r="C686" s="697" t="s">
        <v>2708</v>
      </c>
      <c r="D686" s="697" t="s">
        <v>3857</v>
      </c>
      <c r="E686" s="697" t="s">
        <v>3858</v>
      </c>
      <c r="F686" s="701"/>
      <c r="G686" s="701"/>
      <c r="H686" s="701"/>
      <c r="I686" s="701"/>
      <c r="J686" s="701"/>
      <c r="K686" s="701"/>
      <c r="L686" s="701"/>
      <c r="M686" s="701"/>
      <c r="N686" s="701">
        <v>1</v>
      </c>
      <c r="O686" s="701">
        <v>386</v>
      </c>
      <c r="P686" s="723"/>
      <c r="Q686" s="702">
        <v>386</v>
      </c>
    </row>
    <row r="687" spans="1:17" ht="14.4" customHeight="1" x14ac:dyDescent="0.3">
      <c r="A687" s="696" t="s">
        <v>505</v>
      </c>
      <c r="B687" s="697" t="s">
        <v>3851</v>
      </c>
      <c r="C687" s="697" t="s">
        <v>2708</v>
      </c>
      <c r="D687" s="697" t="s">
        <v>3859</v>
      </c>
      <c r="E687" s="697" t="s">
        <v>3860</v>
      </c>
      <c r="F687" s="701"/>
      <c r="G687" s="701"/>
      <c r="H687" s="701"/>
      <c r="I687" s="701"/>
      <c r="J687" s="701">
        <v>1</v>
      </c>
      <c r="K687" s="701">
        <v>2282</v>
      </c>
      <c r="L687" s="701">
        <v>1</v>
      </c>
      <c r="M687" s="701">
        <v>2282</v>
      </c>
      <c r="N687" s="701"/>
      <c r="O687" s="701"/>
      <c r="P687" s="723"/>
      <c r="Q687" s="702"/>
    </row>
    <row r="688" spans="1:17" ht="14.4" customHeight="1" x14ac:dyDescent="0.3">
      <c r="A688" s="696" t="s">
        <v>505</v>
      </c>
      <c r="B688" s="697" t="s">
        <v>3851</v>
      </c>
      <c r="C688" s="697" t="s">
        <v>2708</v>
      </c>
      <c r="D688" s="697" t="s">
        <v>2767</v>
      </c>
      <c r="E688" s="697" t="s">
        <v>2768</v>
      </c>
      <c r="F688" s="701"/>
      <c r="G688" s="701"/>
      <c r="H688" s="701"/>
      <c r="I688" s="701"/>
      <c r="J688" s="701">
        <v>3</v>
      </c>
      <c r="K688" s="701">
        <v>2511</v>
      </c>
      <c r="L688" s="701">
        <v>1</v>
      </c>
      <c r="M688" s="701">
        <v>837</v>
      </c>
      <c r="N688" s="701">
        <v>3</v>
      </c>
      <c r="O688" s="701">
        <v>2517</v>
      </c>
      <c r="P688" s="723">
        <v>1.0023894862604541</v>
      </c>
      <c r="Q688" s="702">
        <v>839</v>
      </c>
    </row>
    <row r="689" spans="1:17" ht="14.4" customHeight="1" x14ac:dyDescent="0.3">
      <c r="A689" s="696" t="s">
        <v>505</v>
      </c>
      <c r="B689" s="697" t="s">
        <v>3851</v>
      </c>
      <c r="C689" s="697" t="s">
        <v>2708</v>
      </c>
      <c r="D689" s="697" t="s">
        <v>2767</v>
      </c>
      <c r="E689" s="697" t="s">
        <v>2769</v>
      </c>
      <c r="F689" s="701">
        <v>6</v>
      </c>
      <c r="G689" s="701">
        <v>5016</v>
      </c>
      <c r="H689" s="701">
        <v>1.1985663082437277</v>
      </c>
      <c r="I689" s="701">
        <v>836</v>
      </c>
      <c r="J689" s="701">
        <v>5</v>
      </c>
      <c r="K689" s="701">
        <v>4185</v>
      </c>
      <c r="L689" s="701">
        <v>1</v>
      </c>
      <c r="M689" s="701">
        <v>837</v>
      </c>
      <c r="N689" s="701">
        <v>2</v>
      </c>
      <c r="O689" s="701">
        <v>1678</v>
      </c>
      <c r="P689" s="723">
        <v>0.40095579450418162</v>
      </c>
      <c r="Q689" s="702">
        <v>839</v>
      </c>
    </row>
    <row r="690" spans="1:17" ht="14.4" customHeight="1" x14ac:dyDescent="0.3">
      <c r="A690" s="696" t="s">
        <v>505</v>
      </c>
      <c r="B690" s="697" t="s">
        <v>3851</v>
      </c>
      <c r="C690" s="697" t="s">
        <v>2708</v>
      </c>
      <c r="D690" s="697" t="s">
        <v>3861</v>
      </c>
      <c r="E690" s="697" t="s">
        <v>3862</v>
      </c>
      <c r="F690" s="701"/>
      <c r="G690" s="701"/>
      <c r="H690" s="701"/>
      <c r="I690" s="701"/>
      <c r="J690" s="701"/>
      <c r="K690" s="701"/>
      <c r="L690" s="701"/>
      <c r="M690" s="701"/>
      <c r="N690" s="701">
        <v>1</v>
      </c>
      <c r="O690" s="701">
        <v>5614</v>
      </c>
      <c r="P690" s="723"/>
      <c r="Q690" s="702">
        <v>5614</v>
      </c>
    </row>
    <row r="691" spans="1:17" ht="14.4" customHeight="1" x14ac:dyDescent="0.3">
      <c r="A691" s="696" t="s">
        <v>505</v>
      </c>
      <c r="B691" s="697" t="s">
        <v>3851</v>
      </c>
      <c r="C691" s="697" t="s">
        <v>2708</v>
      </c>
      <c r="D691" s="697" t="s">
        <v>2770</v>
      </c>
      <c r="E691" s="697" t="s">
        <v>2771</v>
      </c>
      <c r="F691" s="701">
        <v>1</v>
      </c>
      <c r="G691" s="701">
        <v>2500</v>
      </c>
      <c r="H691" s="701"/>
      <c r="I691" s="701">
        <v>2500</v>
      </c>
      <c r="J691" s="701"/>
      <c r="K691" s="701"/>
      <c r="L691" s="701"/>
      <c r="M691" s="701"/>
      <c r="N691" s="701">
        <v>2</v>
      </c>
      <c r="O691" s="701">
        <v>5012</v>
      </c>
      <c r="P691" s="723"/>
      <c r="Q691" s="702">
        <v>2506</v>
      </c>
    </row>
    <row r="692" spans="1:17" ht="14.4" customHeight="1" x14ac:dyDescent="0.3">
      <c r="A692" s="696" t="s">
        <v>505</v>
      </c>
      <c r="B692" s="697" t="s">
        <v>3851</v>
      </c>
      <c r="C692" s="697" t="s">
        <v>2708</v>
      </c>
      <c r="D692" s="697" t="s">
        <v>2770</v>
      </c>
      <c r="E692" s="697" t="s">
        <v>3863</v>
      </c>
      <c r="F692" s="701">
        <v>1</v>
      </c>
      <c r="G692" s="701">
        <v>2500</v>
      </c>
      <c r="H692" s="701"/>
      <c r="I692" s="701">
        <v>2500</v>
      </c>
      <c r="J692" s="701"/>
      <c r="K692" s="701"/>
      <c r="L692" s="701"/>
      <c r="M692" s="701"/>
      <c r="N692" s="701"/>
      <c r="O692" s="701"/>
      <c r="P692" s="723"/>
      <c r="Q692" s="702"/>
    </row>
    <row r="693" spans="1:17" ht="14.4" customHeight="1" x14ac:dyDescent="0.3">
      <c r="A693" s="696" t="s">
        <v>505</v>
      </c>
      <c r="B693" s="697" t="s">
        <v>3851</v>
      </c>
      <c r="C693" s="697" t="s">
        <v>2708</v>
      </c>
      <c r="D693" s="697" t="s">
        <v>3864</v>
      </c>
      <c r="E693" s="697" t="s">
        <v>3865</v>
      </c>
      <c r="F693" s="701">
        <v>1</v>
      </c>
      <c r="G693" s="701">
        <v>3544</v>
      </c>
      <c r="H693" s="701"/>
      <c r="I693" s="701">
        <v>3544</v>
      </c>
      <c r="J693" s="701"/>
      <c r="K693" s="701"/>
      <c r="L693" s="701"/>
      <c r="M693" s="701"/>
      <c r="N693" s="701"/>
      <c r="O693" s="701"/>
      <c r="P693" s="723"/>
      <c r="Q693" s="702"/>
    </row>
    <row r="694" spans="1:17" ht="14.4" customHeight="1" x14ac:dyDescent="0.3">
      <c r="A694" s="696" t="s">
        <v>505</v>
      </c>
      <c r="B694" s="697" t="s">
        <v>3851</v>
      </c>
      <c r="C694" s="697" t="s">
        <v>2708</v>
      </c>
      <c r="D694" s="697" t="s">
        <v>3866</v>
      </c>
      <c r="E694" s="697" t="s">
        <v>3867</v>
      </c>
      <c r="F694" s="701"/>
      <c r="G694" s="701"/>
      <c r="H694" s="701"/>
      <c r="I694" s="701"/>
      <c r="J694" s="701">
        <v>1</v>
      </c>
      <c r="K694" s="701">
        <v>406</v>
      </c>
      <c r="L694" s="701">
        <v>1</v>
      </c>
      <c r="M694" s="701">
        <v>406</v>
      </c>
      <c r="N694" s="701"/>
      <c r="O694" s="701"/>
      <c r="P694" s="723"/>
      <c r="Q694" s="702"/>
    </row>
    <row r="695" spans="1:17" ht="14.4" customHeight="1" x14ac:dyDescent="0.3">
      <c r="A695" s="696" t="s">
        <v>505</v>
      </c>
      <c r="B695" s="697" t="s">
        <v>3851</v>
      </c>
      <c r="C695" s="697" t="s">
        <v>2708</v>
      </c>
      <c r="D695" s="697" t="s">
        <v>3866</v>
      </c>
      <c r="E695" s="697" t="s">
        <v>3868</v>
      </c>
      <c r="F695" s="701"/>
      <c r="G695" s="701"/>
      <c r="H695" s="701"/>
      <c r="I695" s="701"/>
      <c r="J695" s="701">
        <v>1</v>
      </c>
      <c r="K695" s="701">
        <v>406</v>
      </c>
      <c r="L695" s="701">
        <v>1</v>
      </c>
      <c r="M695" s="701">
        <v>406</v>
      </c>
      <c r="N695" s="701">
        <v>1</v>
      </c>
      <c r="O695" s="701">
        <v>407</v>
      </c>
      <c r="P695" s="723">
        <v>1.0024630541871922</v>
      </c>
      <c r="Q695" s="702">
        <v>407</v>
      </c>
    </row>
    <row r="696" spans="1:17" ht="14.4" customHeight="1" x14ac:dyDescent="0.3">
      <c r="A696" s="696" t="s">
        <v>505</v>
      </c>
      <c r="B696" s="697" t="s">
        <v>3851</v>
      </c>
      <c r="C696" s="697" t="s">
        <v>2708</v>
      </c>
      <c r="D696" s="697" t="s">
        <v>3869</v>
      </c>
      <c r="E696" s="697" t="s">
        <v>3870</v>
      </c>
      <c r="F696" s="701">
        <v>1</v>
      </c>
      <c r="G696" s="701">
        <v>1641</v>
      </c>
      <c r="H696" s="701"/>
      <c r="I696" s="701">
        <v>1641</v>
      </c>
      <c r="J696" s="701"/>
      <c r="K696" s="701"/>
      <c r="L696" s="701"/>
      <c r="M696" s="701"/>
      <c r="N696" s="701"/>
      <c r="O696" s="701"/>
      <c r="P696" s="723"/>
      <c r="Q696" s="702"/>
    </row>
    <row r="697" spans="1:17" ht="14.4" customHeight="1" x14ac:dyDescent="0.3">
      <c r="A697" s="696" t="s">
        <v>505</v>
      </c>
      <c r="B697" s="697" t="s">
        <v>3851</v>
      </c>
      <c r="C697" s="697" t="s">
        <v>2708</v>
      </c>
      <c r="D697" s="697" t="s">
        <v>3758</v>
      </c>
      <c r="E697" s="697" t="s">
        <v>3759</v>
      </c>
      <c r="F697" s="701"/>
      <c r="G697" s="701"/>
      <c r="H697" s="701"/>
      <c r="I697" s="701"/>
      <c r="J697" s="701">
        <v>1</v>
      </c>
      <c r="K697" s="701">
        <v>66</v>
      </c>
      <c r="L697" s="701">
        <v>1</v>
      </c>
      <c r="M697" s="701">
        <v>66</v>
      </c>
      <c r="N697" s="701"/>
      <c r="O697" s="701"/>
      <c r="P697" s="723"/>
      <c r="Q697" s="702"/>
    </row>
    <row r="698" spans="1:17" ht="14.4" customHeight="1" x14ac:dyDescent="0.3">
      <c r="A698" s="696" t="s">
        <v>505</v>
      </c>
      <c r="B698" s="697" t="s">
        <v>3851</v>
      </c>
      <c r="C698" s="697" t="s">
        <v>2708</v>
      </c>
      <c r="D698" s="697" t="s">
        <v>3849</v>
      </c>
      <c r="E698" s="697" t="s">
        <v>3871</v>
      </c>
      <c r="F698" s="701"/>
      <c r="G698" s="701"/>
      <c r="H698" s="701"/>
      <c r="I698" s="701"/>
      <c r="J698" s="701">
        <v>1</v>
      </c>
      <c r="K698" s="701">
        <v>113</v>
      </c>
      <c r="L698" s="701">
        <v>1</v>
      </c>
      <c r="M698" s="701">
        <v>113</v>
      </c>
      <c r="N698" s="701">
        <v>1</v>
      </c>
      <c r="O698" s="701">
        <v>114</v>
      </c>
      <c r="P698" s="723">
        <v>1.0088495575221239</v>
      </c>
      <c r="Q698" s="702">
        <v>114</v>
      </c>
    </row>
    <row r="699" spans="1:17" ht="14.4" customHeight="1" x14ac:dyDescent="0.3">
      <c r="A699" s="696" t="s">
        <v>505</v>
      </c>
      <c r="B699" s="697" t="s">
        <v>3851</v>
      </c>
      <c r="C699" s="697" t="s">
        <v>2708</v>
      </c>
      <c r="D699" s="697" t="s">
        <v>3849</v>
      </c>
      <c r="E699" s="697" t="s">
        <v>3850</v>
      </c>
      <c r="F699" s="701"/>
      <c r="G699" s="701"/>
      <c r="H699" s="701"/>
      <c r="I699" s="701"/>
      <c r="J699" s="701"/>
      <c r="K699" s="701"/>
      <c r="L699" s="701"/>
      <c r="M699" s="701"/>
      <c r="N699" s="701">
        <v>4</v>
      </c>
      <c r="O699" s="701">
        <v>456</v>
      </c>
      <c r="P699" s="723"/>
      <c r="Q699" s="702">
        <v>114</v>
      </c>
    </row>
    <row r="700" spans="1:17" ht="14.4" customHeight="1" x14ac:dyDescent="0.3">
      <c r="A700" s="696" t="s">
        <v>505</v>
      </c>
      <c r="B700" s="697" t="s">
        <v>3851</v>
      </c>
      <c r="C700" s="697" t="s">
        <v>2708</v>
      </c>
      <c r="D700" s="697" t="s">
        <v>3872</v>
      </c>
      <c r="E700" s="697" t="s">
        <v>3873</v>
      </c>
      <c r="F700" s="701">
        <v>1</v>
      </c>
      <c r="G700" s="701">
        <v>6096</v>
      </c>
      <c r="H700" s="701">
        <v>0.49950835791543757</v>
      </c>
      <c r="I700" s="701">
        <v>6096</v>
      </c>
      <c r="J700" s="701">
        <v>2</v>
      </c>
      <c r="K700" s="701">
        <v>12204</v>
      </c>
      <c r="L700" s="701">
        <v>1</v>
      </c>
      <c r="M700" s="701">
        <v>6102</v>
      </c>
      <c r="N700" s="701"/>
      <c r="O700" s="701"/>
      <c r="P700" s="723"/>
      <c r="Q700" s="702"/>
    </row>
    <row r="701" spans="1:17" ht="14.4" customHeight="1" x14ac:dyDescent="0.3">
      <c r="A701" s="696" t="s">
        <v>505</v>
      </c>
      <c r="B701" s="697" t="s">
        <v>3851</v>
      </c>
      <c r="C701" s="697" t="s">
        <v>2708</v>
      </c>
      <c r="D701" s="697" t="s">
        <v>3874</v>
      </c>
      <c r="E701" s="697" t="s">
        <v>3875</v>
      </c>
      <c r="F701" s="701">
        <v>1</v>
      </c>
      <c r="G701" s="701">
        <v>43</v>
      </c>
      <c r="H701" s="701">
        <v>1</v>
      </c>
      <c r="I701" s="701">
        <v>43</v>
      </c>
      <c r="J701" s="701">
        <v>1</v>
      </c>
      <c r="K701" s="701">
        <v>43</v>
      </c>
      <c r="L701" s="701">
        <v>1</v>
      </c>
      <c r="M701" s="701">
        <v>43</v>
      </c>
      <c r="N701" s="701"/>
      <c r="O701" s="701"/>
      <c r="P701" s="723"/>
      <c r="Q701" s="702"/>
    </row>
    <row r="702" spans="1:17" ht="14.4" customHeight="1" x14ac:dyDescent="0.3">
      <c r="A702" s="696" t="s">
        <v>505</v>
      </c>
      <c r="B702" s="697" t="s">
        <v>3851</v>
      </c>
      <c r="C702" s="697" t="s">
        <v>2708</v>
      </c>
      <c r="D702" s="697" t="s">
        <v>3876</v>
      </c>
      <c r="E702" s="697" t="s">
        <v>3877</v>
      </c>
      <c r="F702" s="701">
        <v>1</v>
      </c>
      <c r="G702" s="701">
        <v>1497</v>
      </c>
      <c r="H702" s="701"/>
      <c r="I702" s="701">
        <v>1497</v>
      </c>
      <c r="J702" s="701"/>
      <c r="K702" s="701"/>
      <c r="L702" s="701"/>
      <c r="M702" s="701"/>
      <c r="N702" s="701"/>
      <c r="O702" s="701"/>
      <c r="P702" s="723"/>
      <c r="Q702" s="702"/>
    </row>
    <row r="703" spans="1:17" ht="14.4" customHeight="1" x14ac:dyDescent="0.3">
      <c r="A703" s="696" t="s">
        <v>505</v>
      </c>
      <c r="B703" s="697" t="s">
        <v>3851</v>
      </c>
      <c r="C703" s="697" t="s">
        <v>2708</v>
      </c>
      <c r="D703" s="697" t="s">
        <v>3876</v>
      </c>
      <c r="E703" s="697" t="s">
        <v>3878</v>
      </c>
      <c r="F703" s="701"/>
      <c r="G703" s="701"/>
      <c r="H703" s="701"/>
      <c r="I703" s="701"/>
      <c r="J703" s="701">
        <v>1</v>
      </c>
      <c r="K703" s="701">
        <v>1498</v>
      </c>
      <c r="L703" s="701">
        <v>1</v>
      </c>
      <c r="M703" s="701">
        <v>1498</v>
      </c>
      <c r="N703" s="701"/>
      <c r="O703" s="701"/>
      <c r="P703" s="723"/>
      <c r="Q703" s="702"/>
    </row>
    <row r="704" spans="1:17" ht="14.4" customHeight="1" x14ac:dyDescent="0.3">
      <c r="A704" s="696" t="s">
        <v>505</v>
      </c>
      <c r="B704" s="697" t="s">
        <v>3851</v>
      </c>
      <c r="C704" s="697" t="s">
        <v>2708</v>
      </c>
      <c r="D704" s="697" t="s">
        <v>3879</v>
      </c>
      <c r="E704" s="697" t="s">
        <v>3880</v>
      </c>
      <c r="F704" s="701">
        <v>1</v>
      </c>
      <c r="G704" s="701">
        <v>394</v>
      </c>
      <c r="H704" s="701"/>
      <c r="I704" s="701">
        <v>394</v>
      </c>
      <c r="J704" s="701"/>
      <c r="K704" s="701"/>
      <c r="L704" s="701"/>
      <c r="M704" s="701"/>
      <c r="N704" s="701">
        <v>1</v>
      </c>
      <c r="O704" s="701">
        <v>396</v>
      </c>
      <c r="P704" s="723"/>
      <c r="Q704" s="702">
        <v>396</v>
      </c>
    </row>
    <row r="705" spans="1:17" ht="14.4" customHeight="1" x14ac:dyDescent="0.3">
      <c r="A705" s="696" t="s">
        <v>505</v>
      </c>
      <c r="B705" s="697" t="s">
        <v>3851</v>
      </c>
      <c r="C705" s="697" t="s">
        <v>2708</v>
      </c>
      <c r="D705" s="697" t="s">
        <v>3881</v>
      </c>
      <c r="E705" s="697" t="s">
        <v>3882</v>
      </c>
      <c r="F705" s="701"/>
      <c r="G705" s="701"/>
      <c r="H705" s="701"/>
      <c r="I705" s="701"/>
      <c r="J705" s="701">
        <v>1</v>
      </c>
      <c r="K705" s="701">
        <v>494</v>
      </c>
      <c r="L705" s="701">
        <v>1</v>
      </c>
      <c r="M705" s="701">
        <v>494</v>
      </c>
      <c r="N705" s="701"/>
      <c r="O705" s="701"/>
      <c r="P705" s="723"/>
      <c r="Q705" s="702"/>
    </row>
    <row r="706" spans="1:17" ht="14.4" customHeight="1" x14ac:dyDescent="0.3">
      <c r="A706" s="696" t="s">
        <v>505</v>
      </c>
      <c r="B706" s="697" t="s">
        <v>3851</v>
      </c>
      <c r="C706" s="697" t="s">
        <v>2708</v>
      </c>
      <c r="D706" s="697" t="s">
        <v>3883</v>
      </c>
      <c r="E706" s="697" t="s">
        <v>3884</v>
      </c>
      <c r="F706" s="701"/>
      <c r="G706" s="701"/>
      <c r="H706" s="701"/>
      <c r="I706" s="701"/>
      <c r="J706" s="701">
        <v>1</v>
      </c>
      <c r="K706" s="701">
        <v>512</v>
      </c>
      <c r="L706" s="701">
        <v>1</v>
      </c>
      <c r="M706" s="701">
        <v>512</v>
      </c>
      <c r="N706" s="701"/>
      <c r="O706" s="701"/>
      <c r="P706" s="723"/>
      <c r="Q706" s="702"/>
    </row>
    <row r="707" spans="1:17" ht="14.4" customHeight="1" x14ac:dyDescent="0.3">
      <c r="A707" s="696" t="s">
        <v>505</v>
      </c>
      <c r="B707" s="697" t="s">
        <v>3851</v>
      </c>
      <c r="C707" s="697" t="s">
        <v>2708</v>
      </c>
      <c r="D707" s="697" t="s">
        <v>3885</v>
      </c>
      <c r="E707" s="697" t="s">
        <v>3886</v>
      </c>
      <c r="F707" s="701"/>
      <c r="G707" s="701"/>
      <c r="H707" s="701"/>
      <c r="I707" s="701"/>
      <c r="J707" s="701">
        <v>1</v>
      </c>
      <c r="K707" s="701">
        <v>255</v>
      </c>
      <c r="L707" s="701">
        <v>1</v>
      </c>
      <c r="M707" s="701">
        <v>255</v>
      </c>
      <c r="N707" s="701"/>
      <c r="O707" s="701"/>
      <c r="P707" s="723"/>
      <c r="Q707" s="702"/>
    </row>
    <row r="708" spans="1:17" ht="14.4" customHeight="1" x14ac:dyDescent="0.3">
      <c r="A708" s="696" t="s">
        <v>505</v>
      </c>
      <c r="B708" s="697" t="s">
        <v>3851</v>
      </c>
      <c r="C708" s="697" t="s">
        <v>2708</v>
      </c>
      <c r="D708" s="697" t="s">
        <v>3887</v>
      </c>
      <c r="E708" s="697" t="s">
        <v>3888</v>
      </c>
      <c r="F708" s="701">
        <v>1</v>
      </c>
      <c r="G708" s="701">
        <v>5123</v>
      </c>
      <c r="H708" s="701"/>
      <c r="I708" s="701">
        <v>5123</v>
      </c>
      <c r="J708" s="701"/>
      <c r="K708" s="701"/>
      <c r="L708" s="701"/>
      <c r="M708" s="701"/>
      <c r="N708" s="701"/>
      <c r="O708" s="701"/>
      <c r="P708" s="723"/>
      <c r="Q708" s="702"/>
    </row>
    <row r="709" spans="1:17" ht="14.4" customHeight="1" x14ac:dyDescent="0.3">
      <c r="A709" s="696" t="s">
        <v>505</v>
      </c>
      <c r="B709" s="697" t="s">
        <v>3889</v>
      </c>
      <c r="C709" s="697" t="s">
        <v>2708</v>
      </c>
      <c r="D709" s="697" t="s">
        <v>3108</v>
      </c>
      <c r="E709" s="697" t="s">
        <v>3109</v>
      </c>
      <c r="F709" s="701"/>
      <c r="G709" s="701"/>
      <c r="H709" s="701"/>
      <c r="I709" s="701"/>
      <c r="J709" s="701">
        <v>4</v>
      </c>
      <c r="K709" s="701">
        <v>696</v>
      </c>
      <c r="L709" s="701">
        <v>1</v>
      </c>
      <c r="M709" s="701">
        <v>174</v>
      </c>
      <c r="N709" s="701"/>
      <c r="O709" s="701"/>
      <c r="P709" s="723"/>
      <c r="Q709" s="702"/>
    </row>
    <row r="710" spans="1:17" ht="14.4" customHeight="1" x14ac:dyDescent="0.3">
      <c r="A710" s="696" t="s">
        <v>505</v>
      </c>
      <c r="B710" s="697" t="s">
        <v>3889</v>
      </c>
      <c r="C710" s="697" t="s">
        <v>2708</v>
      </c>
      <c r="D710" s="697" t="s">
        <v>3890</v>
      </c>
      <c r="E710" s="697" t="s">
        <v>3891</v>
      </c>
      <c r="F710" s="701"/>
      <c r="G710" s="701"/>
      <c r="H710" s="701"/>
      <c r="I710" s="701"/>
      <c r="J710" s="701">
        <v>1</v>
      </c>
      <c r="K710" s="701">
        <v>5239</v>
      </c>
      <c r="L710" s="701">
        <v>1</v>
      </c>
      <c r="M710" s="701">
        <v>5239</v>
      </c>
      <c r="N710" s="701"/>
      <c r="O710" s="701"/>
      <c r="P710" s="723"/>
      <c r="Q710" s="702"/>
    </row>
    <row r="711" spans="1:17" ht="14.4" customHeight="1" x14ac:dyDescent="0.3">
      <c r="A711" s="696" t="s">
        <v>505</v>
      </c>
      <c r="B711" s="697" t="s">
        <v>3889</v>
      </c>
      <c r="C711" s="697" t="s">
        <v>2708</v>
      </c>
      <c r="D711" s="697" t="s">
        <v>3892</v>
      </c>
      <c r="E711" s="697" t="s">
        <v>3893</v>
      </c>
      <c r="F711" s="701"/>
      <c r="G711" s="701"/>
      <c r="H711" s="701"/>
      <c r="I711" s="701"/>
      <c r="J711" s="701"/>
      <c r="K711" s="701"/>
      <c r="L711" s="701"/>
      <c r="M711" s="701"/>
      <c r="N711" s="701">
        <v>1</v>
      </c>
      <c r="O711" s="701">
        <v>871</v>
      </c>
      <c r="P711" s="723"/>
      <c r="Q711" s="702">
        <v>871</v>
      </c>
    </row>
    <row r="712" spans="1:17" ht="14.4" customHeight="1" x14ac:dyDescent="0.3">
      <c r="A712" s="696" t="s">
        <v>505</v>
      </c>
      <c r="B712" s="697" t="s">
        <v>3889</v>
      </c>
      <c r="C712" s="697" t="s">
        <v>2708</v>
      </c>
      <c r="D712" s="697" t="s">
        <v>3894</v>
      </c>
      <c r="E712" s="697" t="s">
        <v>3895</v>
      </c>
      <c r="F712" s="701"/>
      <c r="G712" s="701"/>
      <c r="H712" s="701"/>
      <c r="I712" s="701"/>
      <c r="J712" s="701">
        <v>1</v>
      </c>
      <c r="K712" s="701">
        <v>1931</v>
      </c>
      <c r="L712" s="701">
        <v>1</v>
      </c>
      <c r="M712" s="701">
        <v>1931</v>
      </c>
      <c r="N712" s="701">
        <v>1</v>
      </c>
      <c r="O712" s="701">
        <v>1936</v>
      </c>
      <c r="P712" s="723">
        <v>1.0025893319523562</v>
      </c>
      <c r="Q712" s="702">
        <v>1936</v>
      </c>
    </row>
    <row r="713" spans="1:17" ht="14.4" customHeight="1" x14ac:dyDescent="0.3">
      <c r="A713" s="696" t="s">
        <v>505</v>
      </c>
      <c r="B713" s="697" t="s">
        <v>3896</v>
      </c>
      <c r="C713" s="697" t="s">
        <v>2708</v>
      </c>
      <c r="D713" s="697" t="s">
        <v>2740</v>
      </c>
      <c r="E713" s="697" t="s">
        <v>2741</v>
      </c>
      <c r="F713" s="701">
        <v>3</v>
      </c>
      <c r="G713" s="701">
        <v>6435</v>
      </c>
      <c r="H713" s="701"/>
      <c r="I713" s="701">
        <v>2145</v>
      </c>
      <c r="J713" s="701"/>
      <c r="K713" s="701"/>
      <c r="L713" s="701"/>
      <c r="M713" s="701"/>
      <c r="N713" s="701">
        <v>1</v>
      </c>
      <c r="O713" s="701">
        <v>2150</v>
      </c>
      <c r="P713" s="723"/>
      <c r="Q713" s="702">
        <v>2150</v>
      </c>
    </row>
    <row r="714" spans="1:17" ht="14.4" customHeight="1" x14ac:dyDescent="0.3">
      <c r="A714" s="696" t="s">
        <v>505</v>
      </c>
      <c r="B714" s="697" t="s">
        <v>3896</v>
      </c>
      <c r="C714" s="697" t="s">
        <v>2708</v>
      </c>
      <c r="D714" s="697" t="s">
        <v>2745</v>
      </c>
      <c r="E714" s="697" t="s">
        <v>2746</v>
      </c>
      <c r="F714" s="701"/>
      <c r="G714" s="701"/>
      <c r="H714" s="701"/>
      <c r="I714" s="701"/>
      <c r="J714" s="701"/>
      <c r="K714" s="701"/>
      <c r="L714" s="701"/>
      <c r="M714" s="701"/>
      <c r="N714" s="701">
        <v>2</v>
      </c>
      <c r="O714" s="701">
        <v>4636</v>
      </c>
      <c r="P714" s="723"/>
      <c r="Q714" s="702">
        <v>2318</v>
      </c>
    </row>
    <row r="715" spans="1:17" ht="14.4" customHeight="1" x14ac:dyDescent="0.3">
      <c r="A715" s="696" t="s">
        <v>505</v>
      </c>
      <c r="B715" s="697" t="s">
        <v>3896</v>
      </c>
      <c r="C715" s="697" t="s">
        <v>2708</v>
      </c>
      <c r="D715" s="697" t="s">
        <v>3897</v>
      </c>
      <c r="E715" s="697" t="s">
        <v>3898</v>
      </c>
      <c r="F715" s="701">
        <v>1</v>
      </c>
      <c r="G715" s="701">
        <v>538</v>
      </c>
      <c r="H715" s="701"/>
      <c r="I715" s="701">
        <v>538</v>
      </c>
      <c r="J715" s="701"/>
      <c r="K715" s="701"/>
      <c r="L715" s="701"/>
      <c r="M715" s="701"/>
      <c r="N715" s="701"/>
      <c r="O715" s="701"/>
      <c r="P715" s="723"/>
      <c r="Q715" s="702"/>
    </row>
    <row r="716" spans="1:17" ht="14.4" customHeight="1" x14ac:dyDescent="0.3">
      <c r="A716" s="696" t="s">
        <v>505</v>
      </c>
      <c r="B716" s="697" t="s">
        <v>3896</v>
      </c>
      <c r="C716" s="697" t="s">
        <v>2708</v>
      </c>
      <c r="D716" s="697" t="s">
        <v>3899</v>
      </c>
      <c r="E716" s="697" t="s">
        <v>3900</v>
      </c>
      <c r="F716" s="701">
        <v>1</v>
      </c>
      <c r="G716" s="701">
        <v>494</v>
      </c>
      <c r="H716" s="701"/>
      <c r="I716" s="701">
        <v>494</v>
      </c>
      <c r="J716" s="701"/>
      <c r="K716" s="701"/>
      <c r="L716" s="701"/>
      <c r="M716" s="701"/>
      <c r="N716" s="701"/>
      <c r="O716" s="701"/>
      <c r="P716" s="723"/>
      <c r="Q716" s="702"/>
    </row>
    <row r="717" spans="1:17" ht="14.4" customHeight="1" x14ac:dyDescent="0.3">
      <c r="A717" s="696" t="s">
        <v>505</v>
      </c>
      <c r="B717" s="697" t="s">
        <v>3896</v>
      </c>
      <c r="C717" s="697" t="s">
        <v>2708</v>
      </c>
      <c r="D717" s="697" t="s">
        <v>3901</v>
      </c>
      <c r="E717" s="697" t="s">
        <v>3902</v>
      </c>
      <c r="F717" s="701">
        <v>0</v>
      </c>
      <c r="G717" s="701">
        <v>0</v>
      </c>
      <c r="H717" s="701"/>
      <c r="I717" s="701"/>
      <c r="J717" s="701"/>
      <c r="K717" s="701"/>
      <c r="L717" s="701"/>
      <c r="M717" s="701"/>
      <c r="N717" s="701"/>
      <c r="O717" s="701"/>
      <c r="P717" s="723"/>
      <c r="Q717" s="702"/>
    </row>
    <row r="718" spans="1:17" ht="14.4" customHeight="1" x14ac:dyDescent="0.3">
      <c r="A718" s="696" t="s">
        <v>505</v>
      </c>
      <c r="B718" s="697" t="s">
        <v>3896</v>
      </c>
      <c r="C718" s="697" t="s">
        <v>2708</v>
      </c>
      <c r="D718" s="697" t="s">
        <v>3903</v>
      </c>
      <c r="E718" s="697" t="s">
        <v>3904</v>
      </c>
      <c r="F718" s="701"/>
      <c r="G718" s="701"/>
      <c r="H718" s="701"/>
      <c r="I718" s="701"/>
      <c r="J718" s="701">
        <v>1</v>
      </c>
      <c r="K718" s="701">
        <v>3130</v>
      </c>
      <c r="L718" s="701">
        <v>1</v>
      </c>
      <c r="M718" s="701">
        <v>3130</v>
      </c>
      <c r="N718" s="701"/>
      <c r="O718" s="701"/>
      <c r="P718" s="723"/>
      <c r="Q718" s="702"/>
    </row>
    <row r="719" spans="1:17" ht="14.4" customHeight="1" x14ac:dyDescent="0.3">
      <c r="A719" s="696" t="s">
        <v>505</v>
      </c>
      <c r="B719" s="697" t="s">
        <v>3896</v>
      </c>
      <c r="C719" s="697" t="s">
        <v>2708</v>
      </c>
      <c r="D719" s="697" t="s">
        <v>3905</v>
      </c>
      <c r="E719" s="697" t="s">
        <v>3906</v>
      </c>
      <c r="F719" s="701">
        <v>1</v>
      </c>
      <c r="G719" s="701">
        <v>4059</v>
      </c>
      <c r="H719" s="701"/>
      <c r="I719" s="701">
        <v>4059</v>
      </c>
      <c r="J719" s="701"/>
      <c r="K719" s="701"/>
      <c r="L719" s="701"/>
      <c r="M719" s="701"/>
      <c r="N719" s="701"/>
      <c r="O719" s="701"/>
      <c r="P719" s="723"/>
      <c r="Q719" s="702"/>
    </row>
    <row r="720" spans="1:17" ht="14.4" customHeight="1" x14ac:dyDescent="0.3">
      <c r="A720" s="696" t="s">
        <v>505</v>
      </c>
      <c r="B720" s="697" t="s">
        <v>3896</v>
      </c>
      <c r="C720" s="697" t="s">
        <v>2708</v>
      </c>
      <c r="D720" s="697" t="s">
        <v>3907</v>
      </c>
      <c r="E720" s="697" t="s">
        <v>3908</v>
      </c>
      <c r="F720" s="701">
        <v>1</v>
      </c>
      <c r="G720" s="701">
        <v>6333</v>
      </c>
      <c r="H720" s="701"/>
      <c r="I720" s="701">
        <v>6333</v>
      </c>
      <c r="J720" s="701"/>
      <c r="K720" s="701"/>
      <c r="L720" s="701"/>
      <c r="M720" s="701"/>
      <c r="N720" s="701"/>
      <c r="O720" s="701"/>
      <c r="P720" s="723"/>
      <c r="Q720" s="702"/>
    </row>
    <row r="721" spans="1:17" ht="14.4" customHeight="1" x14ac:dyDescent="0.3">
      <c r="A721" s="696" t="s">
        <v>505</v>
      </c>
      <c r="B721" s="697" t="s">
        <v>3896</v>
      </c>
      <c r="C721" s="697" t="s">
        <v>2708</v>
      </c>
      <c r="D721" s="697" t="s">
        <v>3909</v>
      </c>
      <c r="E721" s="697" t="s">
        <v>3910</v>
      </c>
      <c r="F721" s="701">
        <v>1</v>
      </c>
      <c r="G721" s="701">
        <v>2490</v>
      </c>
      <c r="H721" s="701"/>
      <c r="I721" s="701">
        <v>2490</v>
      </c>
      <c r="J721" s="701"/>
      <c r="K721" s="701"/>
      <c r="L721" s="701"/>
      <c r="M721" s="701"/>
      <c r="N721" s="701"/>
      <c r="O721" s="701"/>
      <c r="P721" s="723"/>
      <c r="Q721" s="702"/>
    </row>
    <row r="722" spans="1:17" ht="14.4" customHeight="1" x14ac:dyDescent="0.3">
      <c r="A722" s="696" t="s">
        <v>505</v>
      </c>
      <c r="B722" s="697" t="s">
        <v>3896</v>
      </c>
      <c r="C722" s="697" t="s">
        <v>2708</v>
      </c>
      <c r="D722" s="697" t="s">
        <v>3911</v>
      </c>
      <c r="E722" s="697" t="s">
        <v>3912</v>
      </c>
      <c r="F722" s="701">
        <v>1</v>
      </c>
      <c r="G722" s="701">
        <v>2538</v>
      </c>
      <c r="H722" s="701"/>
      <c r="I722" s="701">
        <v>2538</v>
      </c>
      <c r="J722" s="701"/>
      <c r="K722" s="701"/>
      <c r="L722" s="701"/>
      <c r="M722" s="701"/>
      <c r="N722" s="701"/>
      <c r="O722" s="701"/>
      <c r="P722" s="723"/>
      <c r="Q722" s="702"/>
    </row>
    <row r="723" spans="1:17" ht="14.4" customHeight="1" x14ac:dyDescent="0.3">
      <c r="A723" s="696" t="s">
        <v>505</v>
      </c>
      <c r="B723" s="697" t="s">
        <v>3896</v>
      </c>
      <c r="C723" s="697" t="s">
        <v>2708</v>
      </c>
      <c r="D723" s="697" t="s">
        <v>3913</v>
      </c>
      <c r="E723" s="697" t="s">
        <v>3914</v>
      </c>
      <c r="F723" s="701">
        <v>2</v>
      </c>
      <c r="G723" s="701">
        <v>518</v>
      </c>
      <c r="H723" s="701"/>
      <c r="I723" s="701">
        <v>259</v>
      </c>
      <c r="J723" s="701"/>
      <c r="K723" s="701"/>
      <c r="L723" s="701"/>
      <c r="M723" s="701"/>
      <c r="N723" s="701"/>
      <c r="O723" s="701"/>
      <c r="P723" s="723"/>
      <c r="Q723" s="702"/>
    </row>
    <row r="724" spans="1:17" ht="14.4" customHeight="1" x14ac:dyDescent="0.3">
      <c r="A724" s="696" t="s">
        <v>505</v>
      </c>
      <c r="B724" s="697" t="s">
        <v>3896</v>
      </c>
      <c r="C724" s="697" t="s">
        <v>2708</v>
      </c>
      <c r="D724" s="697" t="s">
        <v>3913</v>
      </c>
      <c r="E724" s="697" t="s">
        <v>3915</v>
      </c>
      <c r="F724" s="701"/>
      <c r="G724" s="701"/>
      <c r="H724" s="701"/>
      <c r="I724" s="701"/>
      <c r="J724" s="701"/>
      <c r="K724" s="701"/>
      <c r="L724" s="701"/>
      <c r="M724" s="701"/>
      <c r="N724" s="701">
        <v>1</v>
      </c>
      <c r="O724" s="701">
        <v>261</v>
      </c>
      <c r="P724" s="723"/>
      <c r="Q724" s="702">
        <v>261</v>
      </c>
    </row>
    <row r="725" spans="1:17" ht="14.4" customHeight="1" x14ac:dyDescent="0.3">
      <c r="A725" s="696" t="s">
        <v>505</v>
      </c>
      <c r="B725" s="697" t="s">
        <v>3896</v>
      </c>
      <c r="C725" s="697" t="s">
        <v>2708</v>
      </c>
      <c r="D725" s="697" t="s">
        <v>3916</v>
      </c>
      <c r="E725" s="697" t="s">
        <v>3917</v>
      </c>
      <c r="F725" s="701"/>
      <c r="G725" s="701"/>
      <c r="H725" s="701"/>
      <c r="I725" s="701"/>
      <c r="J725" s="701"/>
      <c r="K725" s="701"/>
      <c r="L725" s="701"/>
      <c r="M725" s="701"/>
      <c r="N725" s="701">
        <v>1</v>
      </c>
      <c r="O725" s="701">
        <v>868</v>
      </c>
      <c r="P725" s="723"/>
      <c r="Q725" s="702">
        <v>868</v>
      </c>
    </row>
    <row r="726" spans="1:17" ht="14.4" customHeight="1" x14ac:dyDescent="0.3">
      <c r="A726" s="696" t="s">
        <v>505</v>
      </c>
      <c r="B726" s="697" t="s">
        <v>3896</v>
      </c>
      <c r="C726" s="697" t="s">
        <v>2708</v>
      </c>
      <c r="D726" s="697" t="s">
        <v>3918</v>
      </c>
      <c r="E726" s="697" t="s">
        <v>3919</v>
      </c>
      <c r="F726" s="701">
        <v>1</v>
      </c>
      <c r="G726" s="701">
        <v>591</v>
      </c>
      <c r="H726" s="701"/>
      <c r="I726" s="701">
        <v>591</v>
      </c>
      <c r="J726" s="701"/>
      <c r="K726" s="701"/>
      <c r="L726" s="701"/>
      <c r="M726" s="701"/>
      <c r="N726" s="701"/>
      <c r="O726" s="701"/>
      <c r="P726" s="723"/>
      <c r="Q726" s="702"/>
    </row>
    <row r="727" spans="1:17" ht="14.4" customHeight="1" x14ac:dyDescent="0.3">
      <c r="A727" s="696" t="s">
        <v>505</v>
      </c>
      <c r="B727" s="697" t="s">
        <v>3896</v>
      </c>
      <c r="C727" s="697" t="s">
        <v>2708</v>
      </c>
      <c r="D727" s="697" t="s">
        <v>3918</v>
      </c>
      <c r="E727" s="697" t="s">
        <v>3920</v>
      </c>
      <c r="F727" s="701">
        <v>1</v>
      </c>
      <c r="G727" s="701">
        <v>591</v>
      </c>
      <c r="H727" s="701">
        <v>0.99831081081081086</v>
      </c>
      <c r="I727" s="701">
        <v>591</v>
      </c>
      <c r="J727" s="701">
        <v>1</v>
      </c>
      <c r="K727" s="701">
        <v>592</v>
      </c>
      <c r="L727" s="701">
        <v>1</v>
      </c>
      <c r="M727" s="701">
        <v>592</v>
      </c>
      <c r="N727" s="701">
        <v>1</v>
      </c>
      <c r="O727" s="701">
        <v>593</v>
      </c>
      <c r="P727" s="723">
        <v>1.0016891891891893</v>
      </c>
      <c r="Q727" s="702">
        <v>593</v>
      </c>
    </row>
    <row r="728" spans="1:17" ht="14.4" customHeight="1" x14ac:dyDescent="0.3">
      <c r="A728" s="696" t="s">
        <v>505</v>
      </c>
      <c r="B728" s="697" t="s">
        <v>3896</v>
      </c>
      <c r="C728" s="697" t="s">
        <v>2708</v>
      </c>
      <c r="D728" s="697" t="s">
        <v>2847</v>
      </c>
      <c r="E728" s="697" t="s">
        <v>2848</v>
      </c>
      <c r="F728" s="701"/>
      <c r="G728" s="701"/>
      <c r="H728" s="701"/>
      <c r="I728" s="701"/>
      <c r="J728" s="701">
        <v>1</v>
      </c>
      <c r="K728" s="701">
        <v>445</v>
      </c>
      <c r="L728" s="701">
        <v>1</v>
      </c>
      <c r="M728" s="701">
        <v>445</v>
      </c>
      <c r="N728" s="701"/>
      <c r="O728" s="701"/>
      <c r="P728" s="723"/>
      <c r="Q728" s="702"/>
    </row>
    <row r="729" spans="1:17" ht="14.4" customHeight="1" x14ac:dyDescent="0.3">
      <c r="A729" s="696" t="s">
        <v>505</v>
      </c>
      <c r="B729" s="697" t="s">
        <v>3896</v>
      </c>
      <c r="C729" s="697" t="s">
        <v>2708</v>
      </c>
      <c r="D729" s="697" t="s">
        <v>3921</v>
      </c>
      <c r="E729" s="697" t="s">
        <v>3922</v>
      </c>
      <c r="F729" s="701">
        <v>1</v>
      </c>
      <c r="G729" s="701">
        <v>767</v>
      </c>
      <c r="H729" s="701">
        <v>1</v>
      </c>
      <c r="I729" s="701">
        <v>767</v>
      </c>
      <c r="J729" s="701">
        <v>1</v>
      </c>
      <c r="K729" s="701">
        <v>767</v>
      </c>
      <c r="L729" s="701">
        <v>1</v>
      </c>
      <c r="M729" s="701">
        <v>767</v>
      </c>
      <c r="N729" s="701">
        <v>1</v>
      </c>
      <c r="O729" s="701">
        <v>768</v>
      </c>
      <c r="P729" s="723">
        <v>1.001303780964798</v>
      </c>
      <c r="Q729" s="702">
        <v>768</v>
      </c>
    </row>
    <row r="730" spans="1:17" ht="14.4" customHeight="1" x14ac:dyDescent="0.3">
      <c r="A730" s="696" t="s">
        <v>505</v>
      </c>
      <c r="B730" s="697" t="s">
        <v>3896</v>
      </c>
      <c r="C730" s="697" t="s">
        <v>2708</v>
      </c>
      <c r="D730" s="697" t="s">
        <v>3923</v>
      </c>
      <c r="E730" s="697" t="s">
        <v>3924</v>
      </c>
      <c r="F730" s="701">
        <v>3</v>
      </c>
      <c r="G730" s="701">
        <v>1086</v>
      </c>
      <c r="H730" s="701">
        <v>3</v>
      </c>
      <c r="I730" s="701">
        <v>362</v>
      </c>
      <c r="J730" s="701">
        <v>1</v>
      </c>
      <c r="K730" s="701">
        <v>362</v>
      </c>
      <c r="L730" s="701">
        <v>1</v>
      </c>
      <c r="M730" s="701">
        <v>362</v>
      </c>
      <c r="N730" s="701">
        <v>1</v>
      </c>
      <c r="O730" s="701">
        <v>363</v>
      </c>
      <c r="P730" s="723">
        <v>1.0027624309392265</v>
      </c>
      <c r="Q730" s="702">
        <v>363</v>
      </c>
    </row>
    <row r="731" spans="1:17" ht="14.4" customHeight="1" x14ac:dyDescent="0.3">
      <c r="A731" s="696" t="s">
        <v>505</v>
      </c>
      <c r="B731" s="697" t="s">
        <v>3896</v>
      </c>
      <c r="C731" s="697" t="s">
        <v>2708</v>
      </c>
      <c r="D731" s="697" t="s">
        <v>3925</v>
      </c>
      <c r="E731" s="697" t="s">
        <v>3926</v>
      </c>
      <c r="F731" s="701"/>
      <c r="G731" s="701"/>
      <c r="H731" s="701"/>
      <c r="I731" s="701"/>
      <c r="J731" s="701"/>
      <c r="K731" s="701"/>
      <c r="L731" s="701"/>
      <c r="M731" s="701"/>
      <c r="N731" s="701">
        <v>1</v>
      </c>
      <c r="O731" s="701">
        <v>4467</v>
      </c>
      <c r="P731" s="723"/>
      <c r="Q731" s="702">
        <v>4467</v>
      </c>
    </row>
    <row r="732" spans="1:17" ht="14.4" customHeight="1" x14ac:dyDescent="0.3">
      <c r="A732" s="696" t="s">
        <v>505</v>
      </c>
      <c r="B732" s="697" t="s">
        <v>3896</v>
      </c>
      <c r="C732" s="697" t="s">
        <v>2708</v>
      </c>
      <c r="D732" s="697" t="s">
        <v>3927</v>
      </c>
      <c r="E732" s="697" t="s">
        <v>3928</v>
      </c>
      <c r="F732" s="701">
        <v>1</v>
      </c>
      <c r="G732" s="701">
        <v>3141</v>
      </c>
      <c r="H732" s="701"/>
      <c r="I732" s="701">
        <v>3141</v>
      </c>
      <c r="J732" s="701"/>
      <c r="K732" s="701"/>
      <c r="L732" s="701"/>
      <c r="M732" s="701"/>
      <c r="N732" s="701">
        <v>2</v>
      </c>
      <c r="O732" s="701">
        <v>6294</v>
      </c>
      <c r="P732" s="723"/>
      <c r="Q732" s="702">
        <v>3147</v>
      </c>
    </row>
    <row r="733" spans="1:17" ht="14.4" customHeight="1" x14ac:dyDescent="0.3">
      <c r="A733" s="696" t="s">
        <v>505</v>
      </c>
      <c r="B733" s="697" t="s">
        <v>3896</v>
      </c>
      <c r="C733" s="697" t="s">
        <v>2708</v>
      </c>
      <c r="D733" s="697" t="s">
        <v>3929</v>
      </c>
      <c r="E733" s="697" t="s">
        <v>3930</v>
      </c>
      <c r="F733" s="701">
        <v>1</v>
      </c>
      <c r="G733" s="701">
        <v>5949</v>
      </c>
      <c r="H733" s="701"/>
      <c r="I733" s="701">
        <v>5949</v>
      </c>
      <c r="J733" s="701"/>
      <c r="K733" s="701"/>
      <c r="L733" s="701"/>
      <c r="M733" s="701"/>
      <c r="N733" s="701"/>
      <c r="O733" s="701"/>
      <c r="P733" s="723"/>
      <c r="Q733" s="702"/>
    </row>
    <row r="734" spans="1:17" ht="14.4" customHeight="1" x14ac:dyDescent="0.3">
      <c r="A734" s="696" t="s">
        <v>505</v>
      </c>
      <c r="B734" s="697" t="s">
        <v>3896</v>
      </c>
      <c r="C734" s="697" t="s">
        <v>2708</v>
      </c>
      <c r="D734" s="697" t="s">
        <v>3931</v>
      </c>
      <c r="E734" s="697" t="s">
        <v>3932</v>
      </c>
      <c r="F734" s="701">
        <v>1</v>
      </c>
      <c r="G734" s="701">
        <v>5011</v>
      </c>
      <c r="H734" s="701"/>
      <c r="I734" s="701">
        <v>5011</v>
      </c>
      <c r="J734" s="701"/>
      <c r="K734" s="701"/>
      <c r="L734" s="701"/>
      <c r="M734" s="701"/>
      <c r="N734" s="701"/>
      <c r="O734" s="701"/>
      <c r="P734" s="723"/>
      <c r="Q734" s="702"/>
    </row>
    <row r="735" spans="1:17" ht="14.4" customHeight="1" x14ac:dyDescent="0.3">
      <c r="A735" s="696" t="s">
        <v>505</v>
      </c>
      <c r="B735" s="697" t="s">
        <v>3933</v>
      </c>
      <c r="C735" s="697" t="s">
        <v>2708</v>
      </c>
      <c r="D735" s="697" t="s">
        <v>3934</v>
      </c>
      <c r="E735" s="697" t="s">
        <v>3935</v>
      </c>
      <c r="F735" s="701">
        <v>3</v>
      </c>
      <c r="G735" s="701">
        <v>27960</v>
      </c>
      <c r="H735" s="701"/>
      <c r="I735" s="701">
        <v>9320</v>
      </c>
      <c r="J735" s="701"/>
      <c r="K735" s="701"/>
      <c r="L735" s="701"/>
      <c r="M735" s="701"/>
      <c r="N735" s="701">
        <v>8</v>
      </c>
      <c r="O735" s="701">
        <v>74560</v>
      </c>
      <c r="P735" s="723"/>
      <c r="Q735" s="702">
        <v>9320</v>
      </c>
    </row>
    <row r="736" spans="1:17" ht="14.4" customHeight="1" x14ac:dyDescent="0.3">
      <c r="A736" s="696" t="s">
        <v>505</v>
      </c>
      <c r="B736" s="697" t="s">
        <v>3933</v>
      </c>
      <c r="C736" s="697" t="s">
        <v>2708</v>
      </c>
      <c r="D736" s="697" t="s">
        <v>3740</v>
      </c>
      <c r="E736" s="697" t="s">
        <v>3741</v>
      </c>
      <c r="F736" s="701"/>
      <c r="G736" s="701"/>
      <c r="H736" s="701"/>
      <c r="I736" s="701"/>
      <c r="J736" s="701">
        <v>1</v>
      </c>
      <c r="K736" s="701">
        <v>624</v>
      </c>
      <c r="L736" s="701">
        <v>1</v>
      </c>
      <c r="M736" s="701">
        <v>624</v>
      </c>
      <c r="N736" s="701">
        <v>1</v>
      </c>
      <c r="O736" s="701">
        <v>625</v>
      </c>
      <c r="P736" s="723">
        <v>1.0016025641025641</v>
      </c>
      <c r="Q736" s="702">
        <v>625</v>
      </c>
    </row>
    <row r="737" spans="1:17" ht="14.4" customHeight="1" x14ac:dyDescent="0.3">
      <c r="A737" s="696" t="s">
        <v>505</v>
      </c>
      <c r="B737" s="697" t="s">
        <v>3936</v>
      </c>
      <c r="C737" s="697" t="s">
        <v>2708</v>
      </c>
      <c r="D737" s="697" t="s">
        <v>3937</v>
      </c>
      <c r="E737" s="697" t="s">
        <v>3938</v>
      </c>
      <c r="F737" s="701">
        <v>1</v>
      </c>
      <c r="G737" s="701">
        <v>265</v>
      </c>
      <c r="H737" s="701"/>
      <c r="I737" s="701">
        <v>265</v>
      </c>
      <c r="J737" s="701"/>
      <c r="K737" s="701"/>
      <c r="L737" s="701"/>
      <c r="M737" s="701"/>
      <c r="N737" s="701">
        <v>1</v>
      </c>
      <c r="O737" s="701">
        <v>266</v>
      </c>
      <c r="P737" s="723"/>
      <c r="Q737" s="702">
        <v>266</v>
      </c>
    </row>
    <row r="738" spans="1:17" ht="14.4" customHeight="1" x14ac:dyDescent="0.3">
      <c r="A738" s="696" t="s">
        <v>505</v>
      </c>
      <c r="B738" s="697" t="s">
        <v>3936</v>
      </c>
      <c r="C738" s="697" t="s">
        <v>2708</v>
      </c>
      <c r="D738" s="697" t="s">
        <v>3939</v>
      </c>
      <c r="E738" s="697" t="s">
        <v>3940</v>
      </c>
      <c r="F738" s="701">
        <v>2</v>
      </c>
      <c r="G738" s="701">
        <v>698</v>
      </c>
      <c r="H738" s="701"/>
      <c r="I738" s="701">
        <v>349</v>
      </c>
      <c r="J738" s="701"/>
      <c r="K738" s="701"/>
      <c r="L738" s="701"/>
      <c r="M738" s="701"/>
      <c r="N738" s="701"/>
      <c r="O738" s="701"/>
      <c r="P738" s="723"/>
      <c r="Q738" s="702"/>
    </row>
    <row r="739" spans="1:17" ht="14.4" customHeight="1" x14ac:dyDescent="0.3">
      <c r="A739" s="696" t="s">
        <v>505</v>
      </c>
      <c r="B739" s="697" t="s">
        <v>3936</v>
      </c>
      <c r="C739" s="697" t="s">
        <v>2708</v>
      </c>
      <c r="D739" s="697" t="s">
        <v>3941</v>
      </c>
      <c r="E739" s="697" t="s">
        <v>3942</v>
      </c>
      <c r="F739" s="701">
        <v>2</v>
      </c>
      <c r="G739" s="701">
        <v>566</v>
      </c>
      <c r="H739" s="701"/>
      <c r="I739" s="701">
        <v>283</v>
      </c>
      <c r="J739" s="701"/>
      <c r="K739" s="701"/>
      <c r="L739" s="701"/>
      <c r="M739" s="701"/>
      <c r="N739" s="701"/>
      <c r="O739" s="701"/>
      <c r="P739" s="723"/>
      <c r="Q739" s="702"/>
    </row>
    <row r="740" spans="1:17" ht="14.4" customHeight="1" thickBot="1" x14ac:dyDescent="0.35">
      <c r="A740" s="703" t="s">
        <v>505</v>
      </c>
      <c r="B740" s="704" t="s">
        <v>3936</v>
      </c>
      <c r="C740" s="704" t="s">
        <v>2708</v>
      </c>
      <c r="D740" s="704" t="s">
        <v>3943</v>
      </c>
      <c r="E740" s="704" t="s">
        <v>3944</v>
      </c>
      <c r="F740" s="708">
        <v>2</v>
      </c>
      <c r="G740" s="708">
        <v>11194</v>
      </c>
      <c r="H740" s="708"/>
      <c r="I740" s="708">
        <v>5597</v>
      </c>
      <c r="J740" s="708"/>
      <c r="K740" s="708"/>
      <c r="L740" s="708"/>
      <c r="M740" s="708"/>
      <c r="N740" s="708"/>
      <c r="O740" s="708"/>
      <c r="P740" s="716"/>
      <c r="Q740" s="70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30" customWidth="1"/>
    <col min="2" max="2" width="7.88671875" style="330" hidden="1" customWidth="1" outlineLevel="1"/>
    <col min="3" max="3" width="7.88671875" style="330" customWidth="1" collapsed="1"/>
    <col min="4" max="4" width="7.88671875" style="330" customWidth="1"/>
    <col min="5" max="5" width="7.88671875" style="330" hidden="1" customWidth="1" outlineLevel="1"/>
    <col min="6" max="6" width="7.88671875" style="338" customWidth="1" collapsed="1"/>
    <col min="7" max="7" width="7.88671875" style="330" hidden="1" customWidth="1" outlineLevel="1"/>
    <col min="8" max="8" width="7.88671875" style="330" customWidth="1" collapsed="1"/>
    <col min="9" max="9" width="7.88671875" style="330" customWidth="1"/>
    <col min="10" max="10" width="7.88671875" style="330" hidden="1" customWidth="1" outlineLevel="1"/>
    <col min="11" max="11" width="7.88671875" style="339" customWidth="1" collapsed="1"/>
    <col min="12" max="13" width="7.88671875" style="330" hidden="1" customWidth="1"/>
    <col min="14" max="15" width="7.88671875" style="330" customWidth="1"/>
    <col min="16" max="16" width="0" style="330" hidden="1" customWidth="1" outlineLevel="1"/>
    <col min="17" max="17" width="9.5546875" style="330" hidden="1" customWidth="1" outlineLevel="1"/>
    <col min="18" max="18" width="9.33203125" style="330" collapsed="1"/>
    <col min="19" max="16384" width="9.33203125" style="330"/>
  </cols>
  <sheetData>
    <row r="1" spans="1:17" ht="18.600000000000001" customHeight="1" thickBot="1" x14ac:dyDescent="0.4">
      <c r="A1" s="590" t="s">
        <v>121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</row>
    <row r="2" spans="1:17" ht="14.4" customHeight="1" thickBot="1" x14ac:dyDescent="0.35">
      <c r="A2" s="348" t="s">
        <v>297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</row>
    <row r="3" spans="1:17" ht="14.4" customHeight="1" thickBot="1" x14ac:dyDescent="0.35">
      <c r="A3" s="612" t="s">
        <v>56</v>
      </c>
      <c r="B3" s="578" t="s">
        <v>57</v>
      </c>
      <c r="C3" s="579"/>
      <c r="D3" s="579"/>
      <c r="E3" s="580"/>
      <c r="F3" s="581"/>
      <c r="G3" s="578" t="s">
        <v>214</v>
      </c>
      <c r="H3" s="579"/>
      <c r="I3" s="579"/>
      <c r="J3" s="580"/>
      <c r="K3" s="581"/>
      <c r="L3" s="106"/>
      <c r="M3" s="107"/>
      <c r="N3" s="106"/>
      <c r="O3" s="108"/>
    </row>
    <row r="4" spans="1:17" ht="14.4" customHeight="1" thickBot="1" x14ac:dyDescent="0.35">
      <c r="A4" s="613"/>
      <c r="B4" s="109">
        <v>2015</v>
      </c>
      <c r="C4" s="110">
        <v>2017</v>
      </c>
      <c r="D4" s="110">
        <v>2018</v>
      </c>
      <c r="E4" s="392" t="s">
        <v>228</v>
      </c>
      <c r="F4" s="393" t="s">
        <v>2</v>
      </c>
      <c r="G4" s="109">
        <v>2015</v>
      </c>
      <c r="H4" s="110">
        <v>2017</v>
      </c>
      <c r="I4" s="110">
        <v>2018</v>
      </c>
      <c r="J4" s="110" t="s">
        <v>228</v>
      </c>
      <c r="K4" s="111" t="s">
        <v>2</v>
      </c>
      <c r="L4" s="106"/>
      <c r="M4" s="106"/>
      <c r="N4" s="112" t="s">
        <v>58</v>
      </c>
      <c r="O4" s="113" t="s">
        <v>59</v>
      </c>
      <c r="P4" s="112" t="s">
        <v>235</v>
      </c>
      <c r="Q4" s="113" t="s">
        <v>236</v>
      </c>
    </row>
    <row r="5" spans="1:17" ht="14.4" hidden="1" customHeight="1" outlineLevel="1" x14ac:dyDescent="0.3">
      <c r="A5" s="410" t="s">
        <v>149</v>
      </c>
      <c r="B5" s="104">
        <v>263.38900000000001</v>
      </c>
      <c r="C5" s="99">
        <v>411.42200000000003</v>
      </c>
      <c r="D5" s="99">
        <v>252.35599999999999</v>
      </c>
      <c r="E5" s="398">
        <f>IF(OR(D5=0,B5=0),"",D5/B5)</f>
        <v>0.95811138658030515</v>
      </c>
      <c r="F5" s="114">
        <f>IF(OR(D5=0,C5=0),"",D5/C5)</f>
        <v>0.61337507474077702</v>
      </c>
      <c r="G5" s="115">
        <v>42</v>
      </c>
      <c r="H5" s="99">
        <v>46</v>
      </c>
      <c r="I5" s="99">
        <v>30</v>
      </c>
      <c r="J5" s="398">
        <f>IF(OR(I5=0,G5=0),"",I5/G5)</f>
        <v>0.7142857142857143</v>
      </c>
      <c r="K5" s="116">
        <f>IF(OR(I5=0,H5=0),"",I5/H5)</f>
        <v>0.65217391304347827</v>
      </c>
      <c r="L5" s="106"/>
      <c r="M5" s="106"/>
      <c r="N5" s="7">
        <f>D5-C5</f>
        <v>-159.06600000000003</v>
      </c>
      <c r="O5" s="8">
        <f>I5-H5</f>
        <v>-16</v>
      </c>
      <c r="P5" s="7">
        <f>D5-B5</f>
        <v>-11.033000000000015</v>
      </c>
      <c r="Q5" s="8">
        <f>I5-G5</f>
        <v>-12</v>
      </c>
    </row>
    <row r="6" spans="1:17" ht="14.4" hidden="1" customHeight="1" outlineLevel="1" x14ac:dyDescent="0.3">
      <c r="A6" s="411" t="s">
        <v>150</v>
      </c>
      <c r="B6" s="105">
        <v>47.963000000000001</v>
      </c>
      <c r="C6" s="98">
        <v>29.355</v>
      </c>
      <c r="D6" s="98">
        <v>34.636000000000003</v>
      </c>
      <c r="E6" s="398">
        <f t="shared" ref="E6:E12" si="0">IF(OR(D6=0,B6=0),"",D6/B6)</f>
        <v>0.72213998290348813</v>
      </c>
      <c r="F6" s="114">
        <f t="shared" ref="F6:F12" si="1">IF(OR(D6=0,C6=0),"",D6/C6)</f>
        <v>1.1799012093340147</v>
      </c>
      <c r="G6" s="118">
        <v>9</v>
      </c>
      <c r="H6" s="98">
        <v>4</v>
      </c>
      <c r="I6" s="98">
        <v>6</v>
      </c>
      <c r="J6" s="399">
        <f t="shared" ref="J6:J12" si="2">IF(OR(I6=0,G6=0),"",I6/G6)</f>
        <v>0.66666666666666663</v>
      </c>
      <c r="K6" s="119">
        <f t="shared" ref="K6:K12" si="3">IF(OR(I6=0,H6=0),"",I6/H6)</f>
        <v>1.5</v>
      </c>
      <c r="L6" s="106"/>
      <c r="M6" s="106"/>
      <c r="N6" s="5">
        <f t="shared" ref="N6:N13" si="4">D6-C6</f>
        <v>5.2810000000000024</v>
      </c>
      <c r="O6" s="6">
        <f t="shared" ref="O6:O13" si="5">I6-H6</f>
        <v>2</v>
      </c>
      <c r="P6" s="5">
        <f t="shared" ref="P6:P13" si="6">D6-B6</f>
        <v>-13.326999999999998</v>
      </c>
      <c r="Q6" s="6">
        <f t="shared" ref="Q6:Q13" si="7">I6-G6</f>
        <v>-3</v>
      </c>
    </row>
    <row r="7" spans="1:17" ht="14.4" hidden="1" customHeight="1" outlineLevel="1" x14ac:dyDescent="0.3">
      <c r="A7" s="411" t="s">
        <v>151</v>
      </c>
      <c r="B7" s="105">
        <v>89.804000000000002</v>
      </c>
      <c r="C7" s="98">
        <v>92.811999999999998</v>
      </c>
      <c r="D7" s="98">
        <v>154.16200000000001</v>
      </c>
      <c r="E7" s="398">
        <f t="shared" si="0"/>
        <v>1.7166495924457708</v>
      </c>
      <c r="F7" s="114">
        <f t="shared" si="1"/>
        <v>1.6610136620264622</v>
      </c>
      <c r="G7" s="118">
        <v>12</v>
      </c>
      <c r="H7" s="98">
        <v>11</v>
      </c>
      <c r="I7" s="98">
        <v>17</v>
      </c>
      <c r="J7" s="399">
        <f t="shared" si="2"/>
        <v>1.4166666666666667</v>
      </c>
      <c r="K7" s="119">
        <f t="shared" si="3"/>
        <v>1.5454545454545454</v>
      </c>
      <c r="L7" s="106"/>
      <c r="M7" s="106"/>
      <c r="N7" s="5">
        <f t="shared" si="4"/>
        <v>61.350000000000009</v>
      </c>
      <c r="O7" s="6">
        <f t="shared" si="5"/>
        <v>6</v>
      </c>
      <c r="P7" s="5">
        <f t="shared" si="6"/>
        <v>64.358000000000004</v>
      </c>
      <c r="Q7" s="6">
        <f t="shared" si="7"/>
        <v>5</v>
      </c>
    </row>
    <row r="8" spans="1:17" ht="14.4" hidden="1" customHeight="1" outlineLevel="1" x14ac:dyDescent="0.3">
      <c r="A8" s="411" t="s">
        <v>152</v>
      </c>
      <c r="B8" s="105">
        <v>58.243000000000002</v>
      </c>
      <c r="C8" s="98">
        <v>49.621000000000002</v>
      </c>
      <c r="D8" s="98">
        <v>36.762999999999998</v>
      </c>
      <c r="E8" s="398">
        <f t="shared" si="0"/>
        <v>0.63120031591779269</v>
      </c>
      <c r="F8" s="114">
        <f t="shared" si="1"/>
        <v>0.74087583885854769</v>
      </c>
      <c r="G8" s="118">
        <v>6</v>
      </c>
      <c r="H8" s="98">
        <v>5</v>
      </c>
      <c r="I8" s="98">
        <v>2</v>
      </c>
      <c r="J8" s="399">
        <f t="shared" si="2"/>
        <v>0.33333333333333331</v>
      </c>
      <c r="K8" s="119">
        <f t="shared" si="3"/>
        <v>0.4</v>
      </c>
      <c r="L8" s="106"/>
      <c r="M8" s="106"/>
      <c r="N8" s="5">
        <f t="shared" si="4"/>
        <v>-12.858000000000004</v>
      </c>
      <c r="O8" s="6">
        <f t="shared" si="5"/>
        <v>-3</v>
      </c>
      <c r="P8" s="5">
        <f t="shared" si="6"/>
        <v>-21.480000000000004</v>
      </c>
      <c r="Q8" s="6">
        <f t="shared" si="7"/>
        <v>-4</v>
      </c>
    </row>
    <row r="9" spans="1:17" ht="14.4" hidden="1" customHeight="1" outlineLevel="1" x14ac:dyDescent="0.3">
      <c r="A9" s="411" t="s">
        <v>153</v>
      </c>
      <c r="B9" s="105">
        <v>0</v>
      </c>
      <c r="C9" s="98">
        <v>0</v>
      </c>
      <c r="D9" s="98">
        <v>0</v>
      </c>
      <c r="E9" s="398" t="str">
        <f t="shared" si="0"/>
        <v/>
      </c>
      <c r="F9" s="114" t="str">
        <f t="shared" si="1"/>
        <v/>
      </c>
      <c r="G9" s="118">
        <v>0</v>
      </c>
      <c r="H9" s="98">
        <v>0</v>
      </c>
      <c r="I9" s="98">
        <v>0</v>
      </c>
      <c r="J9" s="399" t="str">
        <f t="shared" si="2"/>
        <v/>
      </c>
      <c r="K9" s="119" t="str">
        <f t="shared" si="3"/>
        <v/>
      </c>
      <c r="L9" s="106"/>
      <c r="M9" s="106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11" t="s">
        <v>154</v>
      </c>
      <c r="B10" s="105">
        <v>19.181999999999999</v>
      </c>
      <c r="C10" s="98">
        <v>51.255000000000003</v>
      </c>
      <c r="D10" s="98">
        <v>138.33799999999999</v>
      </c>
      <c r="E10" s="398">
        <f t="shared" si="0"/>
        <v>7.2118652903763945</v>
      </c>
      <c r="F10" s="114">
        <f t="shared" si="1"/>
        <v>2.6990147302702172</v>
      </c>
      <c r="G10" s="118">
        <v>5</v>
      </c>
      <c r="H10" s="98">
        <v>6</v>
      </c>
      <c r="I10" s="98">
        <v>12</v>
      </c>
      <c r="J10" s="399">
        <f t="shared" si="2"/>
        <v>2.4</v>
      </c>
      <c r="K10" s="119">
        <f t="shared" si="3"/>
        <v>2</v>
      </c>
      <c r="L10" s="106"/>
      <c r="M10" s="106"/>
      <c r="N10" s="5">
        <f t="shared" si="4"/>
        <v>87.082999999999998</v>
      </c>
      <c r="O10" s="6">
        <f t="shared" si="5"/>
        <v>6</v>
      </c>
      <c r="P10" s="5">
        <f t="shared" si="6"/>
        <v>119.15599999999999</v>
      </c>
      <c r="Q10" s="6">
        <f t="shared" si="7"/>
        <v>7</v>
      </c>
    </row>
    <row r="11" spans="1:17" ht="14.4" hidden="1" customHeight="1" outlineLevel="1" x14ac:dyDescent="0.3">
      <c r="A11" s="411" t="s">
        <v>155</v>
      </c>
      <c r="B11" s="105">
        <v>0</v>
      </c>
      <c r="C11" s="98">
        <v>25.295999999999999</v>
      </c>
      <c r="D11" s="98">
        <v>50.402000000000001</v>
      </c>
      <c r="E11" s="398" t="str">
        <f t="shared" si="0"/>
        <v/>
      </c>
      <c r="F11" s="114">
        <f t="shared" si="1"/>
        <v>1.9924889310562937</v>
      </c>
      <c r="G11" s="118">
        <v>0</v>
      </c>
      <c r="H11" s="98">
        <v>2</v>
      </c>
      <c r="I11" s="98">
        <v>5</v>
      </c>
      <c r="J11" s="399" t="str">
        <f t="shared" si="2"/>
        <v/>
      </c>
      <c r="K11" s="119">
        <f t="shared" si="3"/>
        <v>2.5</v>
      </c>
      <c r="L11" s="106"/>
      <c r="M11" s="106"/>
      <c r="N11" s="5">
        <f t="shared" si="4"/>
        <v>25.106000000000002</v>
      </c>
      <c r="O11" s="6">
        <f t="shared" si="5"/>
        <v>3</v>
      </c>
      <c r="P11" s="5">
        <f t="shared" si="6"/>
        <v>50.402000000000001</v>
      </c>
      <c r="Q11" s="6">
        <f t="shared" si="7"/>
        <v>5</v>
      </c>
    </row>
    <row r="12" spans="1:17" ht="14.4" hidden="1" customHeight="1" outlineLevel="1" thickBot="1" x14ac:dyDescent="0.35">
      <c r="A12" s="412" t="s">
        <v>183</v>
      </c>
      <c r="B12" s="222">
        <v>1.907</v>
      </c>
      <c r="C12" s="223">
        <v>0</v>
      </c>
      <c r="D12" s="223">
        <v>0</v>
      </c>
      <c r="E12" s="398" t="str">
        <f t="shared" si="0"/>
        <v/>
      </c>
      <c r="F12" s="114" t="str">
        <f t="shared" si="1"/>
        <v/>
      </c>
      <c r="G12" s="225">
        <v>1</v>
      </c>
      <c r="H12" s="223">
        <v>0</v>
      </c>
      <c r="I12" s="223">
        <v>0</v>
      </c>
      <c r="J12" s="400" t="str">
        <f t="shared" si="2"/>
        <v/>
      </c>
      <c r="K12" s="226" t="str">
        <f t="shared" si="3"/>
        <v/>
      </c>
      <c r="L12" s="106"/>
      <c r="M12" s="106"/>
      <c r="N12" s="227">
        <f t="shared" si="4"/>
        <v>0</v>
      </c>
      <c r="O12" s="228">
        <f t="shared" si="5"/>
        <v>0</v>
      </c>
      <c r="P12" s="227">
        <f t="shared" si="6"/>
        <v>-1.907</v>
      </c>
      <c r="Q12" s="228">
        <f t="shared" si="7"/>
        <v>-1</v>
      </c>
    </row>
    <row r="13" spans="1:17" ht="14.4" customHeight="1" collapsed="1" thickBot="1" x14ac:dyDescent="0.35">
      <c r="A13" s="102" t="s">
        <v>3</v>
      </c>
      <c r="B13" s="100">
        <f>SUM(B5:B12)</f>
        <v>480.48800000000006</v>
      </c>
      <c r="C13" s="101">
        <f>SUM(C5:C12)</f>
        <v>659.76100000000008</v>
      </c>
      <c r="D13" s="101">
        <f>SUM(D5:D12)</f>
        <v>666.65700000000004</v>
      </c>
      <c r="E13" s="394">
        <f>IF(OR(D13=0,B13=0),0,D13/B13)</f>
        <v>1.387458167529678</v>
      </c>
      <c r="F13" s="120">
        <f>IF(OR(D13=0,C13=0),0,D13/C13)</f>
        <v>1.0104522698371077</v>
      </c>
      <c r="G13" s="121">
        <f>SUM(G5:G12)</f>
        <v>75</v>
      </c>
      <c r="H13" s="101">
        <f>SUM(H5:H12)</f>
        <v>74</v>
      </c>
      <c r="I13" s="101">
        <f>SUM(I5:I12)</f>
        <v>72</v>
      </c>
      <c r="J13" s="394">
        <f>IF(OR(I13=0,G13=0),0,I13/G13)</f>
        <v>0.96</v>
      </c>
      <c r="K13" s="122">
        <f>IF(OR(I13=0,H13=0),0,I13/H13)</f>
        <v>0.97297297297297303</v>
      </c>
      <c r="L13" s="106"/>
      <c r="M13" s="106"/>
      <c r="N13" s="112">
        <f t="shared" si="4"/>
        <v>6.8959999999999582</v>
      </c>
      <c r="O13" s="123">
        <f t="shared" si="5"/>
        <v>-2</v>
      </c>
      <c r="P13" s="112">
        <f t="shared" si="6"/>
        <v>186.16899999999998</v>
      </c>
      <c r="Q13" s="123">
        <f t="shared" si="7"/>
        <v>-3</v>
      </c>
    </row>
    <row r="14" spans="1:17" ht="14.4" customHeight="1" x14ac:dyDescent="0.3">
      <c r="A14" s="124"/>
      <c r="B14" s="591"/>
      <c r="C14" s="591"/>
      <c r="D14" s="591"/>
      <c r="E14" s="614"/>
      <c r="F14" s="591"/>
      <c r="G14" s="591"/>
      <c r="H14" s="591"/>
      <c r="I14" s="591"/>
      <c r="J14" s="614"/>
      <c r="K14" s="591"/>
      <c r="L14" s="106"/>
      <c r="M14" s="106"/>
      <c r="N14" s="106"/>
      <c r="O14" s="108"/>
      <c r="P14" s="106"/>
      <c r="Q14" s="108"/>
    </row>
    <row r="15" spans="1:17" ht="14.4" customHeight="1" thickBot="1" x14ac:dyDescent="0.35">
      <c r="A15" s="124"/>
      <c r="B15" s="331"/>
      <c r="C15" s="332"/>
      <c r="D15" s="332"/>
      <c r="E15" s="332"/>
      <c r="F15" s="332"/>
      <c r="G15" s="331"/>
      <c r="H15" s="332"/>
      <c r="I15" s="332"/>
      <c r="J15" s="332"/>
      <c r="K15" s="332"/>
      <c r="L15" s="106"/>
      <c r="M15" s="106"/>
      <c r="N15" s="106"/>
      <c r="O15" s="108"/>
      <c r="P15" s="106"/>
      <c r="Q15" s="108"/>
    </row>
    <row r="16" spans="1:17" ht="14.4" customHeight="1" thickBot="1" x14ac:dyDescent="0.35">
      <c r="A16" s="615" t="s">
        <v>229</v>
      </c>
      <c r="B16" s="617" t="s">
        <v>57</v>
      </c>
      <c r="C16" s="618"/>
      <c r="D16" s="618"/>
      <c r="E16" s="619"/>
      <c r="F16" s="620"/>
      <c r="G16" s="617" t="s">
        <v>214</v>
      </c>
      <c r="H16" s="618"/>
      <c r="I16" s="618"/>
      <c r="J16" s="619"/>
      <c r="K16" s="620"/>
      <c r="L16" s="608" t="s">
        <v>159</v>
      </c>
      <c r="M16" s="609"/>
      <c r="N16" s="140"/>
      <c r="O16" s="140"/>
      <c r="P16" s="140"/>
      <c r="Q16" s="140"/>
    </row>
    <row r="17" spans="1:17" ht="14.4" customHeight="1" thickBot="1" x14ac:dyDescent="0.35">
      <c r="A17" s="616"/>
      <c r="B17" s="125">
        <v>2015</v>
      </c>
      <c r="C17" s="126">
        <v>2017</v>
      </c>
      <c r="D17" s="126">
        <v>2018</v>
      </c>
      <c r="E17" s="126" t="s">
        <v>228</v>
      </c>
      <c r="F17" s="127" t="s">
        <v>2</v>
      </c>
      <c r="G17" s="125">
        <v>2015</v>
      </c>
      <c r="H17" s="126">
        <v>2017</v>
      </c>
      <c r="I17" s="126">
        <v>2018</v>
      </c>
      <c r="J17" s="126" t="s">
        <v>228</v>
      </c>
      <c r="K17" s="127" t="s">
        <v>2</v>
      </c>
      <c r="L17" s="610" t="s">
        <v>160</v>
      </c>
      <c r="M17" s="611"/>
      <c r="N17" s="128" t="s">
        <v>58</v>
      </c>
      <c r="O17" s="129" t="s">
        <v>59</v>
      </c>
      <c r="P17" s="128" t="s">
        <v>235</v>
      </c>
      <c r="Q17" s="129" t="s">
        <v>236</v>
      </c>
    </row>
    <row r="18" spans="1:17" ht="14.4" hidden="1" customHeight="1" outlineLevel="1" x14ac:dyDescent="0.3">
      <c r="A18" s="410" t="s">
        <v>149</v>
      </c>
      <c r="B18" s="104">
        <v>263.38900000000001</v>
      </c>
      <c r="C18" s="99">
        <v>406.70100000000002</v>
      </c>
      <c r="D18" s="99">
        <v>252.35599999999999</v>
      </c>
      <c r="E18" s="398">
        <f>IF(OR(D18=0,B18=0),"",D18/B18)</f>
        <v>0.95811138658030515</v>
      </c>
      <c r="F18" s="114">
        <f>IF(OR(D18=0,C18=0),"",D18/C18)</f>
        <v>0.62049515491724871</v>
      </c>
      <c r="G18" s="104">
        <v>42</v>
      </c>
      <c r="H18" s="99">
        <v>45</v>
      </c>
      <c r="I18" s="99">
        <v>30</v>
      </c>
      <c r="J18" s="398">
        <f>IF(OR(I18=0,G18=0),"",I18/G18)</f>
        <v>0.7142857142857143</v>
      </c>
      <c r="K18" s="116">
        <f>IF(OR(I18=0,H18=0),"",I18/H18)</f>
        <v>0.66666666666666663</v>
      </c>
      <c r="L18" s="606">
        <v>0.91871999999999998</v>
      </c>
      <c r="M18" s="607"/>
      <c r="N18" s="130">
        <f t="shared" ref="N18:N26" si="8">D18-C18</f>
        <v>-154.34500000000003</v>
      </c>
      <c r="O18" s="131">
        <f t="shared" ref="O18:O26" si="9">I18-H18</f>
        <v>-15</v>
      </c>
      <c r="P18" s="130">
        <f t="shared" ref="P18:P26" si="10">D18-B18</f>
        <v>-11.033000000000015</v>
      </c>
      <c r="Q18" s="131">
        <f t="shared" ref="Q18:Q26" si="11">I18-G18</f>
        <v>-12</v>
      </c>
    </row>
    <row r="19" spans="1:17" ht="14.4" hidden="1" customHeight="1" outlineLevel="1" x14ac:dyDescent="0.3">
      <c r="A19" s="411" t="s">
        <v>150</v>
      </c>
      <c r="B19" s="105">
        <v>47.963000000000001</v>
      </c>
      <c r="C19" s="98">
        <v>29.355</v>
      </c>
      <c r="D19" s="98">
        <v>34.636000000000003</v>
      </c>
      <c r="E19" s="399">
        <f t="shared" ref="E19:E25" si="12">IF(OR(D19=0,B19=0),"",D19/B19)</f>
        <v>0.72213998290348813</v>
      </c>
      <c r="F19" s="117">
        <f t="shared" ref="F19:F25" si="13">IF(OR(D19=0,C19=0),"",D19/C19)</f>
        <v>1.1799012093340147</v>
      </c>
      <c r="G19" s="105">
        <v>9</v>
      </c>
      <c r="H19" s="98">
        <v>4</v>
      </c>
      <c r="I19" s="98">
        <v>6</v>
      </c>
      <c r="J19" s="399">
        <f t="shared" ref="J19:J25" si="14">IF(OR(I19=0,G19=0),"",I19/G19)</f>
        <v>0.66666666666666663</v>
      </c>
      <c r="K19" s="119">
        <f t="shared" ref="K19:K25" si="15">IF(OR(I19=0,H19=0),"",I19/H19)</f>
        <v>1.5</v>
      </c>
      <c r="L19" s="606">
        <v>0.99456</v>
      </c>
      <c r="M19" s="607"/>
      <c r="N19" s="132">
        <f t="shared" si="8"/>
        <v>5.2810000000000024</v>
      </c>
      <c r="O19" s="133">
        <f t="shared" si="9"/>
        <v>2</v>
      </c>
      <c r="P19" s="132">
        <f t="shared" si="10"/>
        <v>-13.326999999999998</v>
      </c>
      <c r="Q19" s="133">
        <f t="shared" si="11"/>
        <v>-3</v>
      </c>
    </row>
    <row r="20" spans="1:17" ht="14.4" hidden="1" customHeight="1" outlineLevel="1" x14ac:dyDescent="0.3">
      <c r="A20" s="411" t="s">
        <v>151</v>
      </c>
      <c r="B20" s="105">
        <v>89.804000000000002</v>
      </c>
      <c r="C20" s="98">
        <v>92.811999999999998</v>
      </c>
      <c r="D20" s="98">
        <v>154.16200000000001</v>
      </c>
      <c r="E20" s="399">
        <f t="shared" si="12"/>
        <v>1.7166495924457708</v>
      </c>
      <c r="F20" s="117">
        <f t="shared" si="13"/>
        <v>1.6610136620264622</v>
      </c>
      <c r="G20" s="105">
        <v>12</v>
      </c>
      <c r="H20" s="98">
        <v>11</v>
      </c>
      <c r="I20" s="98">
        <v>17</v>
      </c>
      <c r="J20" s="399">
        <f t="shared" si="14"/>
        <v>1.4166666666666667</v>
      </c>
      <c r="K20" s="119">
        <f t="shared" si="15"/>
        <v>1.5454545454545454</v>
      </c>
      <c r="L20" s="606">
        <v>0.96671999999999991</v>
      </c>
      <c r="M20" s="607"/>
      <c r="N20" s="132">
        <f t="shared" si="8"/>
        <v>61.350000000000009</v>
      </c>
      <c r="O20" s="133">
        <f t="shared" si="9"/>
        <v>6</v>
      </c>
      <c r="P20" s="132">
        <f t="shared" si="10"/>
        <v>64.358000000000004</v>
      </c>
      <c r="Q20" s="133">
        <f t="shared" si="11"/>
        <v>5</v>
      </c>
    </row>
    <row r="21" spans="1:17" ht="14.4" hidden="1" customHeight="1" outlineLevel="1" x14ac:dyDescent="0.3">
      <c r="A21" s="411" t="s">
        <v>152</v>
      </c>
      <c r="B21" s="105">
        <v>58.243000000000002</v>
      </c>
      <c r="C21" s="98">
        <v>49.621000000000002</v>
      </c>
      <c r="D21" s="98">
        <v>36.762999999999998</v>
      </c>
      <c r="E21" s="399">
        <f t="shared" si="12"/>
        <v>0.63120031591779269</v>
      </c>
      <c r="F21" s="117">
        <f t="shared" si="13"/>
        <v>0.74087583885854769</v>
      </c>
      <c r="G21" s="105">
        <v>6</v>
      </c>
      <c r="H21" s="98">
        <v>5</v>
      </c>
      <c r="I21" s="98">
        <v>2</v>
      </c>
      <c r="J21" s="399">
        <f t="shared" si="14"/>
        <v>0.33333333333333331</v>
      </c>
      <c r="K21" s="119">
        <f t="shared" si="15"/>
        <v>0.4</v>
      </c>
      <c r="L21" s="606">
        <v>1.11744</v>
      </c>
      <c r="M21" s="607"/>
      <c r="N21" s="132">
        <f t="shared" si="8"/>
        <v>-12.858000000000004</v>
      </c>
      <c r="O21" s="133">
        <f t="shared" si="9"/>
        <v>-3</v>
      </c>
      <c r="P21" s="132">
        <f t="shared" si="10"/>
        <v>-21.480000000000004</v>
      </c>
      <c r="Q21" s="133">
        <f t="shared" si="11"/>
        <v>-4</v>
      </c>
    </row>
    <row r="22" spans="1:17" ht="14.4" hidden="1" customHeight="1" outlineLevel="1" x14ac:dyDescent="0.3">
      <c r="A22" s="411" t="s">
        <v>153</v>
      </c>
      <c r="B22" s="105">
        <v>0</v>
      </c>
      <c r="C22" s="98">
        <v>0</v>
      </c>
      <c r="D22" s="98">
        <v>0</v>
      </c>
      <c r="E22" s="399" t="str">
        <f t="shared" si="12"/>
        <v/>
      </c>
      <c r="F22" s="117" t="str">
        <f t="shared" si="13"/>
        <v/>
      </c>
      <c r="G22" s="105">
        <v>0</v>
      </c>
      <c r="H22" s="98">
        <v>0</v>
      </c>
      <c r="I22" s="98">
        <v>0</v>
      </c>
      <c r="J22" s="399" t="str">
        <f t="shared" si="14"/>
        <v/>
      </c>
      <c r="K22" s="119" t="str">
        <f t="shared" si="15"/>
        <v/>
      </c>
      <c r="L22" s="606">
        <v>0.96</v>
      </c>
      <c r="M22" s="607"/>
      <c r="N22" s="132">
        <f t="shared" si="8"/>
        <v>0</v>
      </c>
      <c r="O22" s="133">
        <f t="shared" si="9"/>
        <v>0</v>
      </c>
      <c r="P22" s="132">
        <f t="shared" si="10"/>
        <v>0</v>
      </c>
      <c r="Q22" s="133">
        <f t="shared" si="11"/>
        <v>0</v>
      </c>
    </row>
    <row r="23" spans="1:17" ht="14.4" hidden="1" customHeight="1" outlineLevel="1" x14ac:dyDescent="0.3">
      <c r="A23" s="411" t="s">
        <v>154</v>
      </c>
      <c r="B23" s="105">
        <v>19.181999999999999</v>
      </c>
      <c r="C23" s="98">
        <v>51.255000000000003</v>
      </c>
      <c r="D23" s="98">
        <v>138.33799999999999</v>
      </c>
      <c r="E23" s="399">
        <f t="shared" si="12"/>
        <v>7.2118652903763945</v>
      </c>
      <c r="F23" s="117">
        <f t="shared" si="13"/>
        <v>2.6990147302702172</v>
      </c>
      <c r="G23" s="105">
        <v>5</v>
      </c>
      <c r="H23" s="98">
        <v>6</v>
      </c>
      <c r="I23" s="98">
        <v>12</v>
      </c>
      <c r="J23" s="399">
        <f t="shared" si="14"/>
        <v>2.4</v>
      </c>
      <c r="K23" s="119">
        <f t="shared" si="15"/>
        <v>2</v>
      </c>
      <c r="L23" s="606">
        <v>0.98495999999999995</v>
      </c>
      <c r="M23" s="607"/>
      <c r="N23" s="132">
        <f t="shared" si="8"/>
        <v>87.082999999999998</v>
      </c>
      <c r="O23" s="133">
        <f t="shared" si="9"/>
        <v>6</v>
      </c>
      <c r="P23" s="132">
        <f t="shared" si="10"/>
        <v>119.15599999999999</v>
      </c>
      <c r="Q23" s="133">
        <f t="shared" si="11"/>
        <v>7</v>
      </c>
    </row>
    <row r="24" spans="1:17" ht="14.4" hidden="1" customHeight="1" outlineLevel="1" x14ac:dyDescent="0.3">
      <c r="A24" s="411" t="s">
        <v>155</v>
      </c>
      <c r="B24" s="105">
        <v>0</v>
      </c>
      <c r="C24" s="98">
        <v>25.295999999999999</v>
      </c>
      <c r="D24" s="98">
        <v>50.402000000000001</v>
      </c>
      <c r="E24" s="399" t="str">
        <f t="shared" si="12"/>
        <v/>
      </c>
      <c r="F24" s="117">
        <f t="shared" si="13"/>
        <v>1.9924889310562937</v>
      </c>
      <c r="G24" s="105">
        <v>0</v>
      </c>
      <c r="H24" s="98">
        <v>2</v>
      </c>
      <c r="I24" s="98">
        <v>5</v>
      </c>
      <c r="J24" s="399" t="str">
        <f t="shared" si="14"/>
        <v/>
      </c>
      <c r="K24" s="119">
        <f t="shared" si="15"/>
        <v>2.5</v>
      </c>
      <c r="L24" s="606">
        <v>1.0147199999999998</v>
      </c>
      <c r="M24" s="607"/>
      <c r="N24" s="132">
        <f t="shared" si="8"/>
        <v>25.106000000000002</v>
      </c>
      <c r="O24" s="133">
        <f t="shared" si="9"/>
        <v>3</v>
      </c>
      <c r="P24" s="132">
        <f t="shared" si="10"/>
        <v>50.402000000000001</v>
      </c>
      <c r="Q24" s="133">
        <f t="shared" si="11"/>
        <v>5</v>
      </c>
    </row>
    <row r="25" spans="1:17" ht="14.4" hidden="1" customHeight="1" outlineLevel="1" thickBot="1" x14ac:dyDescent="0.35">
      <c r="A25" s="412" t="s">
        <v>183</v>
      </c>
      <c r="B25" s="222">
        <v>1.907</v>
      </c>
      <c r="C25" s="223">
        <v>0</v>
      </c>
      <c r="D25" s="223">
        <v>0</v>
      </c>
      <c r="E25" s="400" t="str">
        <f t="shared" si="12"/>
        <v/>
      </c>
      <c r="F25" s="224" t="str">
        <f t="shared" si="13"/>
        <v/>
      </c>
      <c r="G25" s="222">
        <v>1</v>
      </c>
      <c r="H25" s="223">
        <v>0</v>
      </c>
      <c r="I25" s="223">
        <v>0</v>
      </c>
      <c r="J25" s="400" t="str">
        <f t="shared" si="14"/>
        <v/>
      </c>
      <c r="K25" s="226" t="str">
        <f t="shared" si="15"/>
        <v/>
      </c>
      <c r="L25" s="333"/>
      <c r="M25" s="334"/>
      <c r="N25" s="229">
        <f t="shared" si="8"/>
        <v>0</v>
      </c>
      <c r="O25" s="230">
        <f t="shared" si="9"/>
        <v>0</v>
      </c>
      <c r="P25" s="229">
        <f t="shared" si="10"/>
        <v>-1.907</v>
      </c>
      <c r="Q25" s="230">
        <f t="shared" si="11"/>
        <v>-1</v>
      </c>
    </row>
    <row r="26" spans="1:17" ht="14.4" customHeight="1" collapsed="1" thickBot="1" x14ac:dyDescent="0.35">
      <c r="A26" s="415" t="s">
        <v>3</v>
      </c>
      <c r="B26" s="134">
        <f>SUM(B18:B25)</f>
        <v>480.48800000000006</v>
      </c>
      <c r="C26" s="135">
        <f>SUM(C18:C25)</f>
        <v>655.04000000000008</v>
      </c>
      <c r="D26" s="135">
        <f>SUM(D18:D25)</f>
        <v>666.65700000000004</v>
      </c>
      <c r="E26" s="395">
        <f>IF(OR(D26=0,B26=0),0,D26/B26)</f>
        <v>1.387458167529678</v>
      </c>
      <c r="F26" s="136">
        <f>IF(OR(D26=0,C26=0),0,D26/C26)</f>
        <v>1.0177347948216902</v>
      </c>
      <c r="G26" s="134">
        <f>SUM(G18:G25)</f>
        <v>75</v>
      </c>
      <c r="H26" s="135">
        <f>SUM(H18:H25)</f>
        <v>73</v>
      </c>
      <c r="I26" s="135">
        <f>SUM(I18:I25)</f>
        <v>72</v>
      </c>
      <c r="J26" s="395">
        <f>IF(OR(I26=0,G26=0),0,I26/G26)</f>
        <v>0.96</v>
      </c>
      <c r="K26" s="137">
        <f>IF(OR(I26=0,H26=0),0,I26/H26)</f>
        <v>0.98630136986301364</v>
      </c>
      <c r="L26" s="106"/>
      <c r="M26" s="106"/>
      <c r="N26" s="128">
        <f t="shared" si="8"/>
        <v>11.616999999999962</v>
      </c>
      <c r="O26" s="138">
        <f t="shared" si="9"/>
        <v>-1</v>
      </c>
      <c r="P26" s="128">
        <f t="shared" si="10"/>
        <v>186.16899999999998</v>
      </c>
      <c r="Q26" s="138">
        <f t="shared" si="11"/>
        <v>-3</v>
      </c>
    </row>
    <row r="27" spans="1:17" ht="14.4" customHeight="1" x14ac:dyDescent="0.3">
      <c r="A27" s="139"/>
      <c r="B27" s="591" t="s">
        <v>181</v>
      </c>
      <c r="C27" s="592"/>
      <c r="D27" s="592"/>
      <c r="E27" s="593"/>
      <c r="F27" s="592"/>
      <c r="G27" s="591" t="s">
        <v>182</v>
      </c>
      <c r="H27" s="592"/>
      <c r="I27" s="592"/>
      <c r="J27" s="593"/>
      <c r="K27" s="592"/>
      <c r="L27" s="140"/>
      <c r="M27" s="140"/>
      <c r="N27" s="140"/>
      <c r="O27" s="141"/>
      <c r="P27" s="140"/>
      <c r="Q27" s="141"/>
    </row>
    <row r="28" spans="1:17" ht="14.4" customHeight="1" thickBot="1" x14ac:dyDescent="0.35">
      <c r="A28" s="139"/>
      <c r="B28" s="331"/>
      <c r="C28" s="332"/>
      <c r="D28" s="332"/>
      <c r="E28" s="332"/>
      <c r="F28" s="332"/>
      <c r="G28" s="331"/>
      <c r="H28" s="332"/>
      <c r="I28" s="332"/>
      <c r="J28" s="332"/>
      <c r="K28" s="332"/>
      <c r="L28" s="140"/>
      <c r="M28" s="140"/>
      <c r="N28" s="140"/>
      <c r="O28" s="141"/>
      <c r="P28" s="140"/>
      <c r="Q28" s="141"/>
    </row>
    <row r="29" spans="1:17" ht="14.4" customHeight="1" thickBot="1" x14ac:dyDescent="0.35">
      <c r="A29" s="600" t="s">
        <v>230</v>
      </c>
      <c r="B29" s="602" t="s">
        <v>57</v>
      </c>
      <c r="C29" s="603"/>
      <c r="D29" s="603"/>
      <c r="E29" s="604"/>
      <c r="F29" s="605"/>
      <c r="G29" s="603" t="s">
        <v>214</v>
      </c>
      <c r="H29" s="603"/>
      <c r="I29" s="603"/>
      <c r="J29" s="604"/>
      <c r="K29" s="605"/>
      <c r="L29" s="140"/>
      <c r="M29" s="140"/>
      <c r="N29" s="140"/>
      <c r="O29" s="141"/>
      <c r="P29" s="140"/>
      <c r="Q29" s="141"/>
    </row>
    <row r="30" spans="1:17" ht="14.4" customHeight="1" thickBot="1" x14ac:dyDescent="0.35">
      <c r="A30" s="601"/>
      <c r="B30" s="142">
        <v>2015</v>
      </c>
      <c r="C30" s="143">
        <v>2017</v>
      </c>
      <c r="D30" s="143">
        <v>2018</v>
      </c>
      <c r="E30" s="143" t="s">
        <v>228</v>
      </c>
      <c r="F30" s="144" t="s">
        <v>2</v>
      </c>
      <c r="G30" s="143">
        <v>2015</v>
      </c>
      <c r="H30" s="143">
        <v>2017</v>
      </c>
      <c r="I30" s="143">
        <v>2018</v>
      </c>
      <c r="J30" s="143" t="s">
        <v>228</v>
      </c>
      <c r="K30" s="144" t="s">
        <v>2</v>
      </c>
      <c r="L30" s="140"/>
      <c r="M30" s="140"/>
      <c r="N30" s="145" t="s">
        <v>58</v>
      </c>
      <c r="O30" s="146" t="s">
        <v>59</v>
      </c>
      <c r="P30" s="145" t="s">
        <v>235</v>
      </c>
      <c r="Q30" s="146" t="s">
        <v>236</v>
      </c>
    </row>
    <row r="31" spans="1:17" ht="14.4" hidden="1" customHeight="1" outlineLevel="1" x14ac:dyDescent="0.3">
      <c r="A31" s="410" t="s">
        <v>149</v>
      </c>
      <c r="B31" s="104">
        <v>0</v>
      </c>
      <c r="C31" s="99">
        <v>4.7210000000000001</v>
      </c>
      <c r="D31" s="99">
        <v>0</v>
      </c>
      <c r="E31" s="398" t="str">
        <f>IF(OR(D31=0,B31=0),"",D31/B31)</f>
        <v/>
      </c>
      <c r="F31" s="114" t="str">
        <f>IF(OR(D31=0,C31=0),"",D31/C31)</f>
        <v/>
      </c>
      <c r="G31" s="115">
        <v>0</v>
      </c>
      <c r="H31" s="99">
        <v>1</v>
      </c>
      <c r="I31" s="99">
        <v>0</v>
      </c>
      <c r="J31" s="398" t="str">
        <f>IF(OR(I31=0,G31=0),"",I31/G31)</f>
        <v/>
      </c>
      <c r="K31" s="116" t="str">
        <f>IF(OR(I31=0,H31=0),"",I31/H31)</f>
        <v/>
      </c>
      <c r="L31" s="140"/>
      <c r="M31" s="140"/>
      <c r="N31" s="130">
        <f t="shared" ref="N31:N39" si="16">D31-C31</f>
        <v>-4.7210000000000001</v>
      </c>
      <c r="O31" s="131">
        <f t="shared" ref="O31:O39" si="17">I31-H31</f>
        <v>-1</v>
      </c>
      <c r="P31" s="130">
        <f t="shared" ref="P31:P39" si="18">D31-B31</f>
        <v>0</v>
      </c>
      <c r="Q31" s="131">
        <f t="shared" ref="Q31:Q39" si="19">I31-G31</f>
        <v>0</v>
      </c>
    </row>
    <row r="32" spans="1:17" ht="14.4" hidden="1" customHeight="1" outlineLevel="1" x14ac:dyDescent="0.3">
      <c r="A32" s="411" t="s">
        <v>150</v>
      </c>
      <c r="B32" s="105">
        <v>0</v>
      </c>
      <c r="C32" s="98">
        <v>0</v>
      </c>
      <c r="D32" s="98">
        <v>0</v>
      </c>
      <c r="E32" s="399" t="str">
        <f t="shared" ref="E32:E38" si="20">IF(OR(D32=0,B32=0),"",D32/B32)</f>
        <v/>
      </c>
      <c r="F32" s="117" t="str">
        <f t="shared" ref="F32:F38" si="21">IF(OR(D32=0,C32=0),"",D32/C32)</f>
        <v/>
      </c>
      <c r="G32" s="118">
        <v>0</v>
      </c>
      <c r="H32" s="98">
        <v>0</v>
      </c>
      <c r="I32" s="98">
        <v>0</v>
      </c>
      <c r="J32" s="399" t="str">
        <f t="shared" ref="J32:J38" si="22">IF(OR(I32=0,G32=0),"",I32/G32)</f>
        <v/>
      </c>
      <c r="K32" s="119" t="str">
        <f t="shared" ref="K32:K38" si="23">IF(OR(I32=0,H32=0),"",I32/H32)</f>
        <v/>
      </c>
      <c r="L32" s="140"/>
      <c r="M32" s="140"/>
      <c r="N32" s="132">
        <f t="shared" si="16"/>
        <v>0</v>
      </c>
      <c r="O32" s="133">
        <f t="shared" si="17"/>
        <v>0</v>
      </c>
      <c r="P32" s="132">
        <f t="shared" si="18"/>
        <v>0</v>
      </c>
      <c r="Q32" s="133">
        <f t="shared" si="19"/>
        <v>0</v>
      </c>
    </row>
    <row r="33" spans="1:17" ht="14.4" hidden="1" customHeight="1" outlineLevel="1" x14ac:dyDescent="0.3">
      <c r="A33" s="411" t="s">
        <v>151</v>
      </c>
      <c r="B33" s="105">
        <v>0</v>
      </c>
      <c r="C33" s="98">
        <v>0</v>
      </c>
      <c r="D33" s="98">
        <v>0</v>
      </c>
      <c r="E33" s="399" t="str">
        <f t="shared" si="20"/>
        <v/>
      </c>
      <c r="F33" s="117" t="str">
        <f t="shared" si="21"/>
        <v/>
      </c>
      <c r="G33" s="118">
        <v>0</v>
      </c>
      <c r="H33" s="98">
        <v>0</v>
      </c>
      <c r="I33" s="98">
        <v>0</v>
      </c>
      <c r="J33" s="399" t="str">
        <f t="shared" si="22"/>
        <v/>
      </c>
      <c r="K33" s="119" t="str">
        <f t="shared" si="23"/>
        <v/>
      </c>
      <c r="L33" s="140"/>
      <c r="M33" s="140"/>
      <c r="N33" s="132">
        <f t="shared" si="16"/>
        <v>0</v>
      </c>
      <c r="O33" s="133">
        <f t="shared" si="17"/>
        <v>0</v>
      </c>
      <c r="P33" s="132">
        <f t="shared" si="18"/>
        <v>0</v>
      </c>
      <c r="Q33" s="133">
        <f t="shared" si="19"/>
        <v>0</v>
      </c>
    </row>
    <row r="34" spans="1:17" ht="14.4" hidden="1" customHeight="1" outlineLevel="1" x14ac:dyDescent="0.3">
      <c r="A34" s="411" t="s">
        <v>152</v>
      </c>
      <c r="B34" s="105">
        <v>0</v>
      </c>
      <c r="C34" s="98">
        <v>0</v>
      </c>
      <c r="D34" s="98">
        <v>0</v>
      </c>
      <c r="E34" s="399" t="str">
        <f t="shared" si="20"/>
        <v/>
      </c>
      <c r="F34" s="117" t="str">
        <f t="shared" si="21"/>
        <v/>
      </c>
      <c r="G34" s="118">
        <v>0</v>
      </c>
      <c r="H34" s="98">
        <v>0</v>
      </c>
      <c r="I34" s="98">
        <v>0</v>
      </c>
      <c r="J34" s="399" t="str">
        <f t="shared" si="22"/>
        <v/>
      </c>
      <c r="K34" s="119" t="str">
        <f t="shared" si="23"/>
        <v/>
      </c>
      <c r="L34" s="140"/>
      <c r="M34" s="140"/>
      <c r="N34" s="132">
        <f t="shared" si="16"/>
        <v>0</v>
      </c>
      <c r="O34" s="133">
        <f t="shared" si="17"/>
        <v>0</v>
      </c>
      <c r="P34" s="132">
        <f t="shared" si="18"/>
        <v>0</v>
      </c>
      <c r="Q34" s="133">
        <f t="shared" si="19"/>
        <v>0</v>
      </c>
    </row>
    <row r="35" spans="1:17" ht="14.4" hidden="1" customHeight="1" outlineLevel="1" x14ac:dyDescent="0.3">
      <c r="A35" s="411" t="s">
        <v>153</v>
      </c>
      <c r="B35" s="105">
        <v>0</v>
      </c>
      <c r="C35" s="98">
        <v>0</v>
      </c>
      <c r="D35" s="98">
        <v>0</v>
      </c>
      <c r="E35" s="399" t="str">
        <f t="shared" si="20"/>
        <v/>
      </c>
      <c r="F35" s="117" t="str">
        <f t="shared" si="21"/>
        <v/>
      </c>
      <c r="G35" s="118">
        <v>0</v>
      </c>
      <c r="H35" s="98">
        <v>0</v>
      </c>
      <c r="I35" s="98">
        <v>0</v>
      </c>
      <c r="J35" s="399" t="str">
        <f t="shared" si="22"/>
        <v/>
      </c>
      <c r="K35" s="119" t="str">
        <f t="shared" si="23"/>
        <v/>
      </c>
      <c r="L35" s="140"/>
      <c r="M35" s="140"/>
      <c r="N35" s="132">
        <f t="shared" si="16"/>
        <v>0</v>
      </c>
      <c r="O35" s="133">
        <f t="shared" si="17"/>
        <v>0</v>
      </c>
      <c r="P35" s="132">
        <f t="shared" si="18"/>
        <v>0</v>
      </c>
      <c r="Q35" s="133">
        <f t="shared" si="19"/>
        <v>0</v>
      </c>
    </row>
    <row r="36" spans="1:17" ht="14.4" hidden="1" customHeight="1" outlineLevel="1" x14ac:dyDescent="0.3">
      <c r="A36" s="411" t="s">
        <v>154</v>
      </c>
      <c r="B36" s="105">
        <v>0</v>
      </c>
      <c r="C36" s="98">
        <v>0</v>
      </c>
      <c r="D36" s="98">
        <v>0</v>
      </c>
      <c r="E36" s="399" t="str">
        <f t="shared" si="20"/>
        <v/>
      </c>
      <c r="F36" s="117" t="str">
        <f t="shared" si="21"/>
        <v/>
      </c>
      <c r="G36" s="118">
        <v>0</v>
      </c>
      <c r="H36" s="98">
        <v>0</v>
      </c>
      <c r="I36" s="98">
        <v>0</v>
      </c>
      <c r="J36" s="399" t="str">
        <f t="shared" si="22"/>
        <v/>
      </c>
      <c r="K36" s="119" t="str">
        <f t="shared" si="23"/>
        <v/>
      </c>
      <c r="L36" s="140"/>
      <c r="M36" s="140"/>
      <c r="N36" s="132">
        <f t="shared" si="16"/>
        <v>0</v>
      </c>
      <c r="O36" s="133">
        <f t="shared" si="17"/>
        <v>0</v>
      </c>
      <c r="P36" s="132">
        <f t="shared" si="18"/>
        <v>0</v>
      </c>
      <c r="Q36" s="133">
        <f t="shared" si="19"/>
        <v>0</v>
      </c>
    </row>
    <row r="37" spans="1:17" ht="14.4" hidden="1" customHeight="1" outlineLevel="1" x14ac:dyDescent="0.3">
      <c r="A37" s="411" t="s">
        <v>155</v>
      </c>
      <c r="B37" s="105">
        <v>0</v>
      </c>
      <c r="C37" s="98">
        <v>0</v>
      </c>
      <c r="D37" s="98">
        <v>0</v>
      </c>
      <c r="E37" s="399" t="str">
        <f t="shared" si="20"/>
        <v/>
      </c>
      <c r="F37" s="117" t="str">
        <f t="shared" si="21"/>
        <v/>
      </c>
      <c r="G37" s="118">
        <v>0</v>
      </c>
      <c r="H37" s="98">
        <v>0</v>
      </c>
      <c r="I37" s="98">
        <v>0</v>
      </c>
      <c r="J37" s="399" t="str">
        <f t="shared" si="22"/>
        <v/>
      </c>
      <c r="K37" s="119" t="str">
        <f t="shared" si="23"/>
        <v/>
      </c>
      <c r="L37" s="140"/>
      <c r="M37" s="140"/>
      <c r="N37" s="132">
        <f t="shared" si="16"/>
        <v>0</v>
      </c>
      <c r="O37" s="133">
        <f t="shared" si="17"/>
        <v>0</v>
      </c>
      <c r="P37" s="132">
        <f t="shared" si="18"/>
        <v>0</v>
      </c>
      <c r="Q37" s="133">
        <f t="shared" si="19"/>
        <v>0</v>
      </c>
    </row>
    <row r="38" spans="1:17" ht="14.4" hidden="1" customHeight="1" outlineLevel="1" thickBot="1" x14ac:dyDescent="0.35">
      <c r="A38" s="412" t="s">
        <v>183</v>
      </c>
      <c r="B38" s="222">
        <v>0</v>
      </c>
      <c r="C38" s="223">
        <v>0</v>
      </c>
      <c r="D38" s="223">
        <v>0</v>
      </c>
      <c r="E38" s="400" t="str">
        <f t="shared" si="20"/>
        <v/>
      </c>
      <c r="F38" s="224" t="str">
        <f t="shared" si="21"/>
        <v/>
      </c>
      <c r="G38" s="225">
        <v>0</v>
      </c>
      <c r="H38" s="223">
        <v>0</v>
      </c>
      <c r="I38" s="223">
        <v>0</v>
      </c>
      <c r="J38" s="400" t="str">
        <f t="shared" si="22"/>
        <v/>
      </c>
      <c r="K38" s="226" t="str">
        <f t="shared" si="23"/>
        <v/>
      </c>
      <c r="L38" s="140"/>
      <c r="M38" s="140"/>
      <c r="N38" s="229">
        <f t="shared" si="16"/>
        <v>0</v>
      </c>
      <c r="O38" s="230">
        <f t="shared" si="17"/>
        <v>0</v>
      </c>
      <c r="P38" s="229">
        <f t="shared" si="18"/>
        <v>0</v>
      </c>
      <c r="Q38" s="230">
        <f t="shared" si="19"/>
        <v>0</v>
      </c>
    </row>
    <row r="39" spans="1:17" ht="14.4" customHeight="1" collapsed="1" thickBot="1" x14ac:dyDescent="0.35">
      <c r="A39" s="414" t="s">
        <v>3</v>
      </c>
      <c r="B39" s="103">
        <f>SUM(B31:B38)</f>
        <v>0</v>
      </c>
      <c r="C39" s="147">
        <f>SUM(C31:C38)</f>
        <v>4.7210000000000001</v>
      </c>
      <c r="D39" s="147">
        <f>SUM(D31:D38)</f>
        <v>0</v>
      </c>
      <c r="E39" s="396">
        <f>IF(OR(D39=0,B39=0),0,D39/B39)</f>
        <v>0</v>
      </c>
      <c r="F39" s="148">
        <f>IF(OR(D39=0,C39=0),0,D39/C39)</f>
        <v>0</v>
      </c>
      <c r="G39" s="149">
        <f>SUM(G31:G38)</f>
        <v>0</v>
      </c>
      <c r="H39" s="147">
        <f>SUM(H31:H38)</f>
        <v>1</v>
      </c>
      <c r="I39" s="147">
        <f>SUM(I31:I38)</f>
        <v>0</v>
      </c>
      <c r="J39" s="396">
        <f>IF(OR(I39=0,G39=0),0,I39/G39)</f>
        <v>0</v>
      </c>
      <c r="K39" s="150">
        <f>IF(OR(I39=0,H39=0),0,I39/H39)</f>
        <v>0</v>
      </c>
      <c r="L39" s="140"/>
      <c r="M39" s="140"/>
      <c r="N39" s="145">
        <f t="shared" si="16"/>
        <v>-4.7210000000000001</v>
      </c>
      <c r="O39" s="151">
        <f t="shared" si="17"/>
        <v>-1</v>
      </c>
      <c r="P39" s="145">
        <f t="shared" si="18"/>
        <v>0</v>
      </c>
      <c r="Q39" s="151">
        <f t="shared" si="19"/>
        <v>0</v>
      </c>
    </row>
    <row r="40" spans="1:17" ht="14.4" customHeight="1" x14ac:dyDescent="0.25">
      <c r="A40" s="335"/>
      <c r="B40" s="335"/>
      <c r="C40" s="335"/>
      <c r="D40" s="335"/>
      <c r="E40" s="335"/>
      <c r="F40" s="336"/>
      <c r="G40" s="335"/>
      <c r="H40" s="335"/>
      <c r="I40" s="335"/>
      <c r="J40" s="335"/>
      <c r="K40" s="337"/>
      <c r="L40" s="335"/>
      <c r="M40" s="335"/>
      <c r="N40" s="335"/>
      <c r="O40" s="335"/>
      <c r="P40" s="335"/>
      <c r="Q40" s="335"/>
    </row>
    <row r="41" spans="1:17" ht="14.4" customHeight="1" thickBot="1" x14ac:dyDescent="0.3">
      <c r="A41" s="335"/>
      <c r="B41" s="335"/>
      <c r="C41" s="335"/>
      <c r="D41" s="335"/>
      <c r="E41" s="335"/>
      <c r="F41" s="336"/>
      <c r="G41" s="335"/>
      <c r="H41" s="335"/>
      <c r="I41" s="335"/>
      <c r="J41" s="335"/>
      <c r="K41" s="337"/>
      <c r="L41" s="335"/>
      <c r="M41" s="335"/>
      <c r="N41" s="335"/>
      <c r="O41" s="335"/>
      <c r="P41" s="335"/>
      <c r="Q41" s="335"/>
    </row>
    <row r="42" spans="1:17" ht="14.4" customHeight="1" thickBot="1" x14ac:dyDescent="0.35">
      <c r="A42" s="594" t="s">
        <v>231</v>
      </c>
      <c r="B42" s="596" t="s">
        <v>57</v>
      </c>
      <c r="C42" s="597"/>
      <c r="D42" s="597"/>
      <c r="E42" s="598"/>
      <c r="F42" s="599"/>
      <c r="G42" s="597" t="s">
        <v>214</v>
      </c>
      <c r="H42" s="597"/>
      <c r="I42" s="597"/>
      <c r="J42" s="598"/>
      <c r="K42" s="599"/>
      <c r="L42" s="140"/>
      <c r="M42" s="140"/>
      <c r="N42" s="140"/>
      <c r="O42" s="141"/>
      <c r="P42" s="140"/>
      <c r="Q42" s="141"/>
    </row>
    <row r="43" spans="1:17" ht="14.4" customHeight="1" thickBot="1" x14ac:dyDescent="0.35">
      <c r="A43" s="595"/>
      <c r="B43" s="381">
        <v>2015</v>
      </c>
      <c r="C43" s="382">
        <v>2017</v>
      </c>
      <c r="D43" s="382">
        <v>2018</v>
      </c>
      <c r="E43" s="382" t="s">
        <v>228</v>
      </c>
      <c r="F43" s="383" t="s">
        <v>2</v>
      </c>
      <c r="G43" s="382">
        <v>2015</v>
      </c>
      <c r="H43" s="382">
        <v>2017</v>
      </c>
      <c r="I43" s="382">
        <v>2018</v>
      </c>
      <c r="J43" s="382" t="s">
        <v>228</v>
      </c>
      <c r="K43" s="383" t="s">
        <v>2</v>
      </c>
      <c r="L43" s="140"/>
      <c r="M43" s="140"/>
      <c r="N43" s="389" t="s">
        <v>58</v>
      </c>
      <c r="O43" s="391" t="s">
        <v>59</v>
      </c>
      <c r="P43" s="389" t="s">
        <v>235</v>
      </c>
      <c r="Q43" s="391" t="s">
        <v>236</v>
      </c>
    </row>
    <row r="44" spans="1:17" ht="14.4" hidden="1" customHeight="1" outlineLevel="1" x14ac:dyDescent="0.3">
      <c r="A44" s="410" t="s">
        <v>149</v>
      </c>
      <c r="B44" s="104">
        <v>0</v>
      </c>
      <c r="C44" s="99">
        <v>0</v>
      </c>
      <c r="D44" s="99">
        <v>0</v>
      </c>
      <c r="E44" s="398" t="str">
        <f>IF(OR(D44=0,B44=0),"",D44/B44)</f>
        <v/>
      </c>
      <c r="F44" s="114" t="str">
        <f>IF(OR(D44=0,C44=0),"",D44/C44)</f>
        <v/>
      </c>
      <c r="G44" s="115">
        <v>0</v>
      </c>
      <c r="H44" s="99">
        <v>0</v>
      </c>
      <c r="I44" s="99">
        <v>0</v>
      </c>
      <c r="J44" s="398" t="str">
        <f>IF(OR(I44=0,G44=0),"",I44/G44)</f>
        <v/>
      </c>
      <c r="K44" s="116" t="str">
        <f>IF(OR(I44=0,H44=0),"",I44/H44)</f>
        <v/>
      </c>
      <c r="L44" s="140"/>
      <c r="M44" s="140"/>
      <c r="N44" s="130">
        <f t="shared" ref="N44:N52" si="24">D44-C44</f>
        <v>0</v>
      </c>
      <c r="O44" s="131">
        <f t="shared" ref="O44:O52" si="25">I44-H44</f>
        <v>0</v>
      </c>
      <c r="P44" s="130">
        <f t="shared" ref="P44:P52" si="26">D44-B44</f>
        <v>0</v>
      </c>
      <c r="Q44" s="131">
        <f t="shared" ref="Q44:Q52" si="27">I44-G44</f>
        <v>0</v>
      </c>
    </row>
    <row r="45" spans="1:17" ht="14.4" hidden="1" customHeight="1" outlineLevel="1" x14ac:dyDescent="0.3">
      <c r="A45" s="411" t="s">
        <v>150</v>
      </c>
      <c r="B45" s="105">
        <v>0</v>
      </c>
      <c r="C45" s="98">
        <v>0</v>
      </c>
      <c r="D45" s="98">
        <v>0</v>
      </c>
      <c r="E45" s="399" t="str">
        <f t="shared" ref="E45:E51" si="28">IF(OR(D45=0,B45=0),"",D45/B45)</f>
        <v/>
      </c>
      <c r="F45" s="117" t="str">
        <f t="shared" ref="F45:F51" si="29">IF(OR(D45=0,C45=0),"",D45/C45)</f>
        <v/>
      </c>
      <c r="G45" s="118">
        <v>0</v>
      </c>
      <c r="H45" s="98">
        <v>0</v>
      </c>
      <c r="I45" s="98">
        <v>0</v>
      </c>
      <c r="J45" s="399" t="str">
        <f t="shared" ref="J45:J51" si="30">IF(OR(I45=0,G45=0),"",I45/G45)</f>
        <v/>
      </c>
      <c r="K45" s="119" t="str">
        <f t="shared" ref="K45:K51" si="31">IF(OR(I45=0,H45=0),"",I45/H45)</f>
        <v/>
      </c>
      <c r="L45" s="140"/>
      <c r="M45" s="140"/>
      <c r="N45" s="132">
        <f t="shared" si="24"/>
        <v>0</v>
      </c>
      <c r="O45" s="133">
        <f t="shared" si="25"/>
        <v>0</v>
      </c>
      <c r="P45" s="132">
        <f t="shared" si="26"/>
        <v>0</v>
      </c>
      <c r="Q45" s="133">
        <f t="shared" si="27"/>
        <v>0</v>
      </c>
    </row>
    <row r="46" spans="1:17" ht="14.4" hidden="1" customHeight="1" outlineLevel="1" x14ac:dyDescent="0.3">
      <c r="A46" s="411" t="s">
        <v>151</v>
      </c>
      <c r="B46" s="105">
        <v>0</v>
      </c>
      <c r="C46" s="98">
        <v>0</v>
      </c>
      <c r="D46" s="98">
        <v>0</v>
      </c>
      <c r="E46" s="399" t="str">
        <f t="shared" si="28"/>
        <v/>
      </c>
      <c r="F46" s="117" t="str">
        <f t="shared" si="29"/>
        <v/>
      </c>
      <c r="G46" s="118">
        <v>0</v>
      </c>
      <c r="H46" s="98">
        <v>0</v>
      </c>
      <c r="I46" s="98">
        <v>0</v>
      </c>
      <c r="J46" s="399" t="str">
        <f t="shared" si="30"/>
        <v/>
      </c>
      <c r="K46" s="119" t="str">
        <f t="shared" si="31"/>
        <v/>
      </c>
      <c r="L46" s="140"/>
      <c r="M46" s="140"/>
      <c r="N46" s="132">
        <f t="shared" si="24"/>
        <v>0</v>
      </c>
      <c r="O46" s="133">
        <f t="shared" si="25"/>
        <v>0</v>
      </c>
      <c r="P46" s="132">
        <f t="shared" si="26"/>
        <v>0</v>
      </c>
      <c r="Q46" s="133">
        <f t="shared" si="27"/>
        <v>0</v>
      </c>
    </row>
    <row r="47" spans="1:17" ht="14.4" hidden="1" customHeight="1" outlineLevel="1" x14ac:dyDescent="0.3">
      <c r="A47" s="411" t="s">
        <v>152</v>
      </c>
      <c r="B47" s="105">
        <v>0</v>
      </c>
      <c r="C47" s="98">
        <v>0</v>
      </c>
      <c r="D47" s="98">
        <v>0</v>
      </c>
      <c r="E47" s="399" t="str">
        <f t="shared" si="28"/>
        <v/>
      </c>
      <c r="F47" s="117" t="str">
        <f t="shared" si="29"/>
        <v/>
      </c>
      <c r="G47" s="118">
        <v>0</v>
      </c>
      <c r="H47" s="98">
        <v>0</v>
      </c>
      <c r="I47" s="98">
        <v>0</v>
      </c>
      <c r="J47" s="399" t="str">
        <f t="shared" si="30"/>
        <v/>
      </c>
      <c r="K47" s="119" t="str">
        <f t="shared" si="31"/>
        <v/>
      </c>
      <c r="L47" s="140"/>
      <c r="M47" s="140"/>
      <c r="N47" s="132">
        <f t="shared" si="24"/>
        <v>0</v>
      </c>
      <c r="O47" s="133">
        <f t="shared" si="25"/>
        <v>0</v>
      </c>
      <c r="P47" s="132">
        <f t="shared" si="26"/>
        <v>0</v>
      </c>
      <c r="Q47" s="133">
        <f t="shared" si="27"/>
        <v>0</v>
      </c>
    </row>
    <row r="48" spans="1:17" ht="14.4" hidden="1" customHeight="1" outlineLevel="1" x14ac:dyDescent="0.3">
      <c r="A48" s="411" t="s">
        <v>153</v>
      </c>
      <c r="B48" s="105">
        <v>0</v>
      </c>
      <c r="C48" s="98">
        <v>0</v>
      </c>
      <c r="D48" s="98">
        <v>0</v>
      </c>
      <c r="E48" s="399" t="str">
        <f t="shared" si="28"/>
        <v/>
      </c>
      <c r="F48" s="117" t="str">
        <f t="shared" si="29"/>
        <v/>
      </c>
      <c r="G48" s="118">
        <v>0</v>
      </c>
      <c r="H48" s="98">
        <v>0</v>
      </c>
      <c r="I48" s="98">
        <v>0</v>
      </c>
      <c r="J48" s="399" t="str">
        <f t="shared" si="30"/>
        <v/>
      </c>
      <c r="K48" s="119" t="str">
        <f t="shared" si="31"/>
        <v/>
      </c>
      <c r="L48" s="140"/>
      <c r="M48" s="140"/>
      <c r="N48" s="132">
        <f t="shared" si="24"/>
        <v>0</v>
      </c>
      <c r="O48" s="133">
        <f t="shared" si="25"/>
        <v>0</v>
      </c>
      <c r="P48" s="132">
        <f t="shared" si="26"/>
        <v>0</v>
      </c>
      <c r="Q48" s="133">
        <f t="shared" si="27"/>
        <v>0</v>
      </c>
    </row>
    <row r="49" spans="1:17" ht="14.4" hidden="1" customHeight="1" outlineLevel="1" x14ac:dyDescent="0.3">
      <c r="A49" s="411" t="s">
        <v>154</v>
      </c>
      <c r="B49" s="105">
        <v>0</v>
      </c>
      <c r="C49" s="98">
        <v>0</v>
      </c>
      <c r="D49" s="98">
        <v>0</v>
      </c>
      <c r="E49" s="399" t="str">
        <f t="shared" si="28"/>
        <v/>
      </c>
      <c r="F49" s="117" t="str">
        <f t="shared" si="29"/>
        <v/>
      </c>
      <c r="G49" s="118">
        <v>0</v>
      </c>
      <c r="H49" s="98">
        <v>0</v>
      </c>
      <c r="I49" s="98">
        <v>0</v>
      </c>
      <c r="J49" s="399" t="str">
        <f t="shared" si="30"/>
        <v/>
      </c>
      <c r="K49" s="119" t="str">
        <f t="shared" si="31"/>
        <v/>
      </c>
      <c r="L49" s="140"/>
      <c r="M49" s="140"/>
      <c r="N49" s="132">
        <f t="shared" si="24"/>
        <v>0</v>
      </c>
      <c r="O49" s="133">
        <f t="shared" si="25"/>
        <v>0</v>
      </c>
      <c r="P49" s="132">
        <f t="shared" si="26"/>
        <v>0</v>
      </c>
      <c r="Q49" s="133">
        <f t="shared" si="27"/>
        <v>0</v>
      </c>
    </row>
    <row r="50" spans="1:17" ht="14.4" hidden="1" customHeight="1" outlineLevel="1" x14ac:dyDescent="0.3">
      <c r="A50" s="411" t="s">
        <v>155</v>
      </c>
      <c r="B50" s="105">
        <v>0</v>
      </c>
      <c r="C50" s="98">
        <v>0</v>
      </c>
      <c r="D50" s="98">
        <v>0</v>
      </c>
      <c r="E50" s="399" t="str">
        <f t="shared" si="28"/>
        <v/>
      </c>
      <c r="F50" s="117" t="str">
        <f t="shared" si="29"/>
        <v/>
      </c>
      <c r="G50" s="118">
        <v>0</v>
      </c>
      <c r="H50" s="98">
        <v>0</v>
      </c>
      <c r="I50" s="98">
        <v>0</v>
      </c>
      <c r="J50" s="399" t="str">
        <f t="shared" si="30"/>
        <v/>
      </c>
      <c r="K50" s="119" t="str">
        <f t="shared" si="31"/>
        <v/>
      </c>
      <c r="L50" s="140"/>
      <c r="M50" s="140"/>
      <c r="N50" s="132">
        <f t="shared" si="24"/>
        <v>0</v>
      </c>
      <c r="O50" s="133">
        <f t="shared" si="25"/>
        <v>0</v>
      </c>
      <c r="P50" s="132">
        <f t="shared" si="26"/>
        <v>0</v>
      </c>
      <c r="Q50" s="133">
        <f t="shared" si="27"/>
        <v>0</v>
      </c>
    </row>
    <row r="51" spans="1:17" ht="14.4" hidden="1" customHeight="1" outlineLevel="1" thickBot="1" x14ac:dyDescent="0.35">
      <c r="A51" s="412" t="s">
        <v>183</v>
      </c>
      <c r="B51" s="222">
        <v>0</v>
      </c>
      <c r="C51" s="223">
        <v>0</v>
      </c>
      <c r="D51" s="223">
        <v>0</v>
      </c>
      <c r="E51" s="400" t="str">
        <f t="shared" si="28"/>
        <v/>
      </c>
      <c r="F51" s="224" t="str">
        <f t="shared" si="29"/>
        <v/>
      </c>
      <c r="G51" s="225">
        <v>0</v>
      </c>
      <c r="H51" s="223">
        <v>0</v>
      </c>
      <c r="I51" s="223">
        <v>0</v>
      </c>
      <c r="J51" s="400" t="str">
        <f t="shared" si="30"/>
        <v/>
      </c>
      <c r="K51" s="226" t="str">
        <f t="shared" si="31"/>
        <v/>
      </c>
      <c r="L51" s="140"/>
      <c r="M51" s="140"/>
      <c r="N51" s="229">
        <f t="shared" si="24"/>
        <v>0</v>
      </c>
      <c r="O51" s="230">
        <f t="shared" si="25"/>
        <v>0</v>
      </c>
      <c r="P51" s="229">
        <f t="shared" si="26"/>
        <v>0</v>
      </c>
      <c r="Q51" s="230">
        <f t="shared" si="27"/>
        <v>0</v>
      </c>
    </row>
    <row r="52" spans="1:17" ht="14.4" customHeight="1" collapsed="1" thickBot="1" x14ac:dyDescent="0.35">
      <c r="A52" s="413" t="s">
        <v>3</v>
      </c>
      <c r="B52" s="384">
        <f>SUM(B44:B51)</f>
        <v>0</v>
      </c>
      <c r="C52" s="385">
        <f>SUM(C44:C51)</f>
        <v>0</v>
      </c>
      <c r="D52" s="385">
        <f>SUM(D44:D51)</f>
        <v>0</v>
      </c>
      <c r="E52" s="397">
        <f>IF(OR(D52=0,B52=0),0,D52/B52)</f>
        <v>0</v>
      </c>
      <c r="F52" s="386">
        <f>IF(OR(D52=0,C52=0),0,D52/C52)</f>
        <v>0</v>
      </c>
      <c r="G52" s="387">
        <f>SUM(G44:G51)</f>
        <v>0</v>
      </c>
      <c r="H52" s="385">
        <f>SUM(H44:H51)</f>
        <v>0</v>
      </c>
      <c r="I52" s="385">
        <f>SUM(I44:I51)</f>
        <v>0</v>
      </c>
      <c r="J52" s="397">
        <f>IF(OR(I52=0,G52=0),0,I52/G52)</f>
        <v>0</v>
      </c>
      <c r="K52" s="388">
        <f>IF(OR(I52=0,H52=0),0,I52/H52)</f>
        <v>0</v>
      </c>
      <c r="L52" s="140"/>
      <c r="M52" s="140"/>
      <c r="N52" s="389">
        <f t="shared" si="24"/>
        <v>0</v>
      </c>
      <c r="O52" s="390">
        <f t="shared" si="25"/>
        <v>0</v>
      </c>
      <c r="P52" s="389">
        <f t="shared" si="26"/>
        <v>0</v>
      </c>
      <c r="Q52" s="390">
        <f t="shared" si="27"/>
        <v>0</v>
      </c>
    </row>
    <row r="53" spans="1:17" ht="14.4" customHeight="1" x14ac:dyDescent="0.25">
      <c r="A53" s="335"/>
      <c r="B53" s="335"/>
      <c r="C53" s="335"/>
      <c r="D53" s="335"/>
      <c r="E53" s="335"/>
      <c r="F53" s="336"/>
      <c r="G53" s="335"/>
      <c r="H53" s="335"/>
      <c r="I53" s="335"/>
      <c r="J53" s="335"/>
      <c r="K53" s="337"/>
      <c r="L53" s="335"/>
      <c r="M53" s="335"/>
      <c r="N53" s="335"/>
      <c r="O53" s="335"/>
    </row>
    <row r="54" spans="1:17" ht="14.4" customHeight="1" x14ac:dyDescent="0.3">
      <c r="A54" s="239" t="s">
        <v>227</v>
      </c>
      <c r="B54" s="335"/>
      <c r="C54" s="335"/>
      <c r="D54" s="335"/>
      <c r="E54" s="335"/>
      <c r="F54" s="336"/>
      <c r="G54" s="335"/>
      <c r="H54" s="335"/>
      <c r="I54" s="335"/>
      <c r="J54" s="335"/>
      <c r="K54" s="337"/>
      <c r="L54" s="335"/>
      <c r="M54" s="335"/>
      <c r="N54" s="335"/>
      <c r="O54" s="335"/>
    </row>
    <row r="55" spans="1:17" ht="14.4" customHeight="1" x14ac:dyDescent="0.25">
      <c r="A55" s="362" t="s">
        <v>292</v>
      </c>
    </row>
    <row r="56" spans="1:17" ht="14.4" customHeight="1" x14ac:dyDescent="0.25">
      <c r="A56" s="363" t="s">
        <v>293</v>
      </c>
    </row>
    <row r="57" spans="1:17" ht="14.4" customHeight="1" x14ac:dyDescent="0.25">
      <c r="A57" s="362" t="s">
        <v>294</v>
      </c>
    </row>
    <row r="58" spans="1:17" ht="14.4" customHeight="1" x14ac:dyDescent="0.25">
      <c r="A58" s="363" t="s">
        <v>295</v>
      </c>
    </row>
    <row r="59" spans="1:17" ht="14.4" customHeight="1" x14ac:dyDescent="0.25">
      <c r="A59" s="363" t="s">
        <v>232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87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513" t="s">
        <v>101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</row>
    <row r="2" spans="1:13" ht="14.4" customHeight="1" x14ac:dyDescent="0.3">
      <c r="A2" s="348" t="s">
        <v>297</v>
      </c>
      <c r="B2" s="183"/>
      <c r="C2" s="18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0"/>
      <c r="C3" s="34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0"/>
      <c r="C4" s="34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0"/>
      <c r="C5" s="34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0"/>
      <c r="C6" s="34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0"/>
      <c r="C7" s="34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0"/>
      <c r="C8" s="34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0"/>
      <c r="C9" s="34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0"/>
      <c r="C10" s="34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0"/>
      <c r="C11" s="34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0"/>
      <c r="C12" s="34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0"/>
      <c r="C13" s="34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0"/>
      <c r="C14" s="34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0"/>
      <c r="C15" s="34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0"/>
      <c r="C16" s="34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0"/>
      <c r="C17" s="34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0"/>
      <c r="C18" s="34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0"/>
      <c r="C19" s="34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0"/>
      <c r="C20" s="34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0"/>
      <c r="C21" s="34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0"/>
      <c r="C22" s="34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0"/>
      <c r="C23" s="34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0"/>
      <c r="C24" s="34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0"/>
      <c r="C25" s="34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0"/>
      <c r="C26" s="34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0"/>
      <c r="C27" s="34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0"/>
      <c r="C28" s="34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0"/>
      <c r="C29" s="34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0"/>
      <c r="C30" s="34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0"/>
      <c r="B31" s="621" t="s">
        <v>69</v>
      </c>
      <c r="C31" s="622"/>
      <c r="D31" s="622"/>
      <c r="E31" s="623"/>
      <c r="F31" s="152" t="s">
        <v>69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1" t="s">
        <v>54</v>
      </c>
      <c r="B32" s="153" t="s">
        <v>72</v>
      </c>
      <c r="C32" s="154" t="s">
        <v>73</v>
      </c>
      <c r="D32" s="154" t="s">
        <v>74</v>
      </c>
      <c r="E32" s="155" t="s">
        <v>2</v>
      </c>
      <c r="F32" s="156" t="s">
        <v>75</v>
      </c>
      <c r="G32" s="341"/>
      <c r="H32" s="341" t="s">
        <v>102</v>
      </c>
      <c r="I32" s="71"/>
      <c r="J32" s="71"/>
      <c r="K32" s="71"/>
      <c r="L32" s="71"/>
      <c r="M32" s="71"/>
    </row>
    <row r="33" spans="1:13" ht="14.4" customHeight="1" x14ac:dyDescent="0.3">
      <c r="A33" s="157" t="s">
        <v>89</v>
      </c>
      <c r="B33" s="184">
        <v>78</v>
      </c>
      <c r="C33" s="184">
        <v>42</v>
      </c>
      <c r="D33" s="75">
        <f>IF(C33="","",C33-B33)</f>
        <v>-36</v>
      </c>
      <c r="E33" s="76">
        <f>IF(C33="","",C33/B33)</f>
        <v>0.53846153846153844</v>
      </c>
      <c r="F33" s="77">
        <v>1</v>
      </c>
      <c r="G33" s="341">
        <v>0</v>
      </c>
      <c r="H33" s="342">
        <v>1</v>
      </c>
      <c r="I33" s="71"/>
      <c r="J33" s="71"/>
      <c r="K33" s="71"/>
      <c r="L33" s="71"/>
      <c r="M33" s="71"/>
    </row>
    <row r="34" spans="1:13" ht="14.4" customHeight="1" x14ac:dyDescent="0.3">
      <c r="A34" s="158" t="s">
        <v>90</v>
      </c>
      <c r="B34" s="185">
        <v>315</v>
      </c>
      <c r="C34" s="185">
        <v>191</v>
      </c>
      <c r="D34" s="78">
        <f t="shared" ref="D34:D45" si="0">IF(C34="","",C34-B34)</f>
        <v>-124</v>
      </c>
      <c r="E34" s="79">
        <f t="shared" ref="E34:E45" si="1">IF(C34="","",C34/B34)</f>
        <v>0.6063492063492063</v>
      </c>
      <c r="F34" s="80">
        <v>20</v>
      </c>
      <c r="G34" s="341">
        <v>1</v>
      </c>
      <c r="H34" s="342">
        <v>1</v>
      </c>
      <c r="I34" s="71"/>
      <c r="J34" s="71"/>
      <c r="K34" s="71"/>
      <c r="L34" s="71"/>
      <c r="M34" s="71"/>
    </row>
    <row r="35" spans="1:13" ht="14.4" customHeight="1" x14ac:dyDescent="0.3">
      <c r="A35" s="158" t="s">
        <v>91</v>
      </c>
      <c r="B35" s="185">
        <v>352</v>
      </c>
      <c r="C35" s="185">
        <v>225</v>
      </c>
      <c r="D35" s="78">
        <f t="shared" si="0"/>
        <v>-127</v>
      </c>
      <c r="E35" s="79">
        <f t="shared" si="1"/>
        <v>0.63920454545454541</v>
      </c>
      <c r="F35" s="80">
        <v>22</v>
      </c>
      <c r="G35" s="343"/>
      <c r="H35" s="343"/>
      <c r="I35" s="71"/>
      <c r="J35" s="71"/>
      <c r="K35" s="71"/>
      <c r="L35" s="71"/>
      <c r="M35" s="71"/>
    </row>
    <row r="36" spans="1:13" ht="14.4" customHeight="1" x14ac:dyDescent="0.3">
      <c r="A36" s="158" t="s">
        <v>92</v>
      </c>
      <c r="B36" s="185">
        <v>516</v>
      </c>
      <c r="C36" s="185">
        <v>349</v>
      </c>
      <c r="D36" s="78">
        <f t="shared" si="0"/>
        <v>-167</v>
      </c>
      <c r="E36" s="79">
        <f t="shared" si="1"/>
        <v>0.6763565891472868</v>
      </c>
      <c r="F36" s="80">
        <v>32</v>
      </c>
      <c r="G36" s="343"/>
      <c r="H36" s="343"/>
      <c r="I36" s="71"/>
      <c r="J36" s="71"/>
      <c r="K36" s="71"/>
      <c r="L36" s="71"/>
      <c r="M36" s="71"/>
    </row>
    <row r="37" spans="1:13" ht="14.4" customHeight="1" x14ac:dyDescent="0.3">
      <c r="A37" s="158" t="s">
        <v>93</v>
      </c>
      <c r="B37" s="185">
        <v>608</v>
      </c>
      <c r="C37" s="185">
        <v>402</v>
      </c>
      <c r="D37" s="78">
        <f t="shared" si="0"/>
        <v>-206</v>
      </c>
      <c r="E37" s="79">
        <f t="shared" si="1"/>
        <v>0.66118421052631582</v>
      </c>
      <c r="F37" s="80">
        <v>30</v>
      </c>
      <c r="G37" s="343"/>
      <c r="H37" s="343"/>
      <c r="I37" s="71"/>
      <c r="J37" s="71"/>
      <c r="K37" s="71"/>
      <c r="L37" s="71"/>
      <c r="M37" s="71"/>
    </row>
    <row r="38" spans="1:13" ht="14.4" customHeight="1" x14ac:dyDescent="0.3">
      <c r="A38" s="158" t="s">
        <v>94</v>
      </c>
      <c r="B38" s="185">
        <v>721</v>
      </c>
      <c r="C38" s="185">
        <v>489</v>
      </c>
      <c r="D38" s="78">
        <f t="shared" si="0"/>
        <v>-232</v>
      </c>
      <c r="E38" s="79">
        <f t="shared" si="1"/>
        <v>0.67822468793342583</v>
      </c>
      <c r="F38" s="80">
        <v>32</v>
      </c>
      <c r="G38" s="343"/>
      <c r="H38" s="343"/>
      <c r="I38" s="71"/>
      <c r="J38" s="71"/>
      <c r="K38" s="71"/>
      <c r="L38" s="71"/>
      <c r="M38" s="71"/>
    </row>
    <row r="39" spans="1:13" ht="14.4" customHeight="1" x14ac:dyDescent="0.3">
      <c r="A39" s="158" t="s">
        <v>95</v>
      </c>
      <c r="B39" s="185">
        <v>902</v>
      </c>
      <c r="C39" s="185">
        <v>711</v>
      </c>
      <c r="D39" s="78">
        <f t="shared" si="0"/>
        <v>-191</v>
      </c>
      <c r="E39" s="79">
        <f t="shared" si="1"/>
        <v>0.7882483370288248</v>
      </c>
      <c r="F39" s="80">
        <v>120</v>
      </c>
      <c r="G39" s="343"/>
      <c r="H39" s="343"/>
      <c r="I39" s="71"/>
      <c r="J39" s="71"/>
      <c r="K39" s="71"/>
      <c r="L39" s="71"/>
      <c r="M39" s="71"/>
    </row>
    <row r="40" spans="1:13" ht="14.4" customHeight="1" x14ac:dyDescent="0.3">
      <c r="A40" s="158" t="s">
        <v>96</v>
      </c>
      <c r="B40" s="185">
        <v>1036</v>
      </c>
      <c r="C40" s="185">
        <v>850</v>
      </c>
      <c r="D40" s="78">
        <f t="shared" si="0"/>
        <v>-186</v>
      </c>
      <c r="E40" s="79">
        <f t="shared" si="1"/>
        <v>0.82046332046332049</v>
      </c>
      <c r="F40" s="80">
        <v>164</v>
      </c>
      <c r="G40" s="343"/>
      <c r="H40" s="343"/>
      <c r="I40" s="71"/>
      <c r="J40" s="71"/>
      <c r="K40" s="71"/>
      <c r="L40" s="71"/>
      <c r="M40" s="71"/>
    </row>
    <row r="41" spans="1:13" ht="14.4" customHeight="1" x14ac:dyDescent="0.3">
      <c r="A41" s="158" t="s">
        <v>97</v>
      </c>
      <c r="B41" s="185">
        <v>1116</v>
      </c>
      <c r="C41" s="185">
        <v>861</v>
      </c>
      <c r="D41" s="78">
        <f t="shared" si="0"/>
        <v>-255</v>
      </c>
      <c r="E41" s="79">
        <f t="shared" si="1"/>
        <v>0.771505376344086</v>
      </c>
      <c r="F41" s="80">
        <v>150</v>
      </c>
      <c r="G41" s="343"/>
      <c r="H41" s="343"/>
      <c r="I41" s="71"/>
      <c r="J41" s="71"/>
      <c r="K41" s="71"/>
      <c r="L41" s="71"/>
      <c r="M41" s="71"/>
    </row>
    <row r="42" spans="1:13" ht="14.4" customHeight="1" x14ac:dyDescent="0.3">
      <c r="A42" s="158" t="s">
        <v>98</v>
      </c>
      <c r="B42" s="185">
        <v>1169</v>
      </c>
      <c r="C42" s="185">
        <v>905</v>
      </c>
      <c r="D42" s="78">
        <f t="shared" si="0"/>
        <v>-264</v>
      </c>
      <c r="E42" s="79">
        <f t="shared" si="1"/>
        <v>0.77416595380667241</v>
      </c>
      <c r="F42" s="80">
        <v>157</v>
      </c>
      <c r="G42" s="343"/>
      <c r="H42" s="343"/>
      <c r="I42" s="71"/>
      <c r="J42" s="71"/>
      <c r="K42" s="71"/>
      <c r="L42" s="71"/>
      <c r="M42" s="71"/>
    </row>
    <row r="43" spans="1:13" ht="14.4" customHeight="1" x14ac:dyDescent="0.3">
      <c r="A43" s="158" t="s">
        <v>99</v>
      </c>
      <c r="B43" s="185">
        <v>1249</v>
      </c>
      <c r="C43" s="185">
        <v>953</v>
      </c>
      <c r="D43" s="78">
        <f t="shared" si="0"/>
        <v>-296</v>
      </c>
      <c r="E43" s="79">
        <f t="shared" si="1"/>
        <v>0.76301040832666134</v>
      </c>
      <c r="F43" s="80">
        <v>157</v>
      </c>
      <c r="G43" s="343"/>
      <c r="H43" s="343"/>
      <c r="I43" s="71"/>
      <c r="J43" s="71"/>
      <c r="K43" s="71"/>
      <c r="L43" s="71"/>
      <c r="M43" s="71"/>
    </row>
    <row r="44" spans="1:13" ht="14.4" customHeight="1" x14ac:dyDescent="0.3">
      <c r="A44" s="158" t="s">
        <v>100</v>
      </c>
      <c r="B44" s="185">
        <v>1326</v>
      </c>
      <c r="C44" s="185">
        <v>1015</v>
      </c>
      <c r="D44" s="78">
        <f t="shared" si="0"/>
        <v>-311</v>
      </c>
      <c r="E44" s="79">
        <f t="shared" si="1"/>
        <v>0.76546003016591246</v>
      </c>
      <c r="F44" s="80">
        <v>160</v>
      </c>
      <c r="G44" s="343"/>
      <c r="H44" s="343"/>
      <c r="I44" s="71"/>
      <c r="J44" s="71"/>
      <c r="K44" s="71"/>
      <c r="L44" s="71"/>
      <c r="M44" s="71"/>
    </row>
    <row r="45" spans="1:13" ht="14.4" customHeight="1" thickBot="1" x14ac:dyDescent="0.35">
      <c r="A45" s="159" t="s">
        <v>103</v>
      </c>
      <c r="B45" s="186"/>
      <c r="C45" s="186"/>
      <c r="D45" s="81" t="str">
        <f t="shared" si="0"/>
        <v/>
      </c>
      <c r="E45" s="82" t="str">
        <f t="shared" si="1"/>
        <v/>
      </c>
      <c r="F45" s="83"/>
      <c r="G45" s="343"/>
      <c r="H45" s="34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2" bestFit="1" customWidth="1"/>
    <col min="2" max="2" width="11.6640625" style="252" hidden="1" customWidth="1"/>
    <col min="3" max="4" width="11" style="254" customWidth="1"/>
    <col min="5" max="5" width="11" style="255" customWidth="1"/>
    <col min="6" max="16384" width="8.88671875" style="252"/>
  </cols>
  <sheetData>
    <row r="1" spans="1:5" ht="18.600000000000001" thickBot="1" x14ac:dyDescent="0.4">
      <c r="A1" s="482" t="s">
        <v>135</v>
      </c>
      <c r="B1" s="482"/>
      <c r="C1" s="483"/>
      <c r="D1" s="483"/>
      <c r="E1" s="483"/>
    </row>
    <row r="2" spans="1:5" ht="14.4" customHeight="1" thickBot="1" x14ac:dyDescent="0.35">
      <c r="A2" s="348" t="s">
        <v>297</v>
      </c>
      <c r="B2" s="253"/>
    </row>
    <row r="3" spans="1:5" ht="14.4" customHeight="1" thickBot="1" x14ac:dyDescent="0.35">
      <c r="A3" s="256"/>
      <c r="C3" s="257" t="s">
        <v>117</v>
      </c>
      <c r="D3" s="258" t="s">
        <v>80</v>
      </c>
      <c r="E3" s="259" t="s">
        <v>82</v>
      </c>
    </row>
    <row r="4" spans="1:5" ht="14.4" customHeight="1" thickBot="1" x14ac:dyDescent="0.35">
      <c r="A4" s="260" t="str">
        <f>HYPERLINK("#HI!A1","NÁKLADY CELKEM (v tisících Kč)")</f>
        <v>NÁKLADY CELKEM (v tisících Kč)</v>
      </c>
      <c r="B4" s="261"/>
      <c r="C4" s="262">
        <f ca="1">IF(ISERROR(VLOOKUP("Náklady celkem",INDIRECT("HI!$A:$G"),6,0)),0,VLOOKUP("Náklady celkem",INDIRECT("HI!$A:$G"),6,0))</f>
        <v>73352.358932121278</v>
      </c>
      <c r="D4" s="262">
        <f ca="1">IF(ISERROR(VLOOKUP("Náklady celkem",INDIRECT("HI!$A:$G"),5,0)),0,VLOOKUP("Náklady celkem",INDIRECT("HI!$A:$G"),5,0))</f>
        <v>78999.584629999998</v>
      </c>
      <c r="E4" s="263">
        <f ca="1">IF(C4=0,0,D4/C4)</f>
        <v>1.0769876494783834</v>
      </c>
    </row>
    <row r="5" spans="1:5" ht="14.4" customHeight="1" x14ac:dyDescent="0.3">
      <c r="A5" s="264" t="s">
        <v>168</v>
      </c>
      <c r="B5" s="265"/>
      <c r="C5" s="266"/>
      <c r="D5" s="266"/>
      <c r="E5" s="267"/>
    </row>
    <row r="6" spans="1:5" ht="14.4" customHeight="1" x14ac:dyDescent="0.3">
      <c r="A6" s="268" t="s">
        <v>173</v>
      </c>
      <c r="B6" s="269"/>
      <c r="C6" s="270"/>
      <c r="D6" s="270"/>
      <c r="E6" s="267"/>
    </row>
    <row r="7" spans="1:5" ht="14.4" customHeight="1" x14ac:dyDescent="0.3">
      <c r="A7" s="3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69" t="s">
        <v>122</v>
      </c>
      <c r="C7" s="270">
        <f>IF(ISERROR(HI!F5),"",HI!F5)</f>
        <v>10701.626812500001</v>
      </c>
      <c r="D7" s="270">
        <f>IF(ISERROR(HI!E5),"",HI!E5)</f>
        <v>10967.659520000001</v>
      </c>
      <c r="E7" s="267">
        <f t="shared" ref="E7:E13" si="0">IF(C7=0,0,D7/C7)</f>
        <v>1.0248590903197317</v>
      </c>
    </row>
    <row r="8" spans="1:5" ht="14.4" customHeight="1" x14ac:dyDescent="0.3">
      <c r="A8" s="378" t="str">
        <f>HYPERLINK("#'LŽ PL'!A1","Plnění pozitivního listu (min. 90%)")</f>
        <v>Plnění pozitivního listu (min. 90%)</v>
      </c>
      <c r="B8" s="269" t="s">
        <v>166</v>
      </c>
      <c r="C8" s="271">
        <v>0.9</v>
      </c>
      <c r="D8" s="271">
        <f>IF(ISERROR(VLOOKUP("celkem",'LŽ PL'!$A:$F,5,0)),0,VLOOKUP("celkem",'LŽ PL'!$A:$F,5,0))</f>
        <v>0.91337722480042494</v>
      </c>
      <c r="E8" s="267">
        <f t="shared" si="0"/>
        <v>1.0148635831115833</v>
      </c>
    </row>
    <row r="9" spans="1:5" ht="14.4" customHeight="1" x14ac:dyDescent="0.3">
      <c r="A9" s="378" t="str">
        <f>HYPERLINK("#'LŽ Statim'!A1","Podíl statimových žádanek (max. 30%)")</f>
        <v>Podíl statimových žádanek (max. 30%)</v>
      </c>
      <c r="B9" s="376" t="s">
        <v>225</v>
      </c>
      <c r="C9" s="377">
        <v>0.3</v>
      </c>
      <c r="D9" s="377">
        <f>IF('LŽ Statim'!G3="",0,'LŽ Statim'!G3)</f>
        <v>0.16193895870736086</v>
      </c>
      <c r="E9" s="267">
        <f>IF(C9=0,0,D9/C9)</f>
        <v>0.53979652902453623</v>
      </c>
    </row>
    <row r="10" spans="1:5" ht="14.4" customHeight="1" x14ac:dyDescent="0.3">
      <c r="A10" s="272" t="s">
        <v>169</v>
      </c>
      <c r="B10" s="269"/>
      <c r="C10" s="270"/>
      <c r="D10" s="270"/>
      <c r="E10" s="267"/>
    </row>
    <row r="11" spans="1:5" ht="14.4" customHeight="1" x14ac:dyDescent="0.3">
      <c r="A11" s="272" t="s">
        <v>170</v>
      </c>
      <c r="B11" s="269"/>
      <c r="C11" s="270"/>
      <c r="D11" s="270"/>
      <c r="E11" s="267"/>
    </row>
    <row r="12" spans="1:5" ht="14.4" customHeight="1" x14ac:dyDescent="0.3">
      <c r="A12" s="273" t="s">
        <v>174</v>
      </c>
      <c r="B12" s="269"/>
      <c r="C12" s="266"/>
      <c r="D12" s="266"/>
      <c r="E12" s="267"/>
    </row>
    <row r="13" spans="1:5" ht="14.4" customHeight="1" x14ac:dyDescent="0.3">
      <c r="A13" s="2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69" t="s">
        <v>122</v>
      </c>
      <c r="C13" s="270">
        <f>IF(ISERROR(HI!F6),"",HI!F6)</f>
        <v>4747.3791907653813</v>
      </c>
      <c r="D13" s="270">
        <f>IF(ISERROR(HI!E6),"",HI!E6)</f>
        <v>4667.7559700000002</v>
      </c>
      <c r="E13" s="267">
        <f t="shared" si="0"/>
        <v>0.9832279627209336</v>
      </c>
    </row>
    <row r="14" spans="1:5" ht="14.4" customHeight="1" thickBot="1" x14ac:dyDescent="0.35">
      <c r="A14" s="275" t="str">
        <f>HYPERLINK("#HI!A1","Osobní náklady")</f>
        <v>Osobní náklady</v>
      </c>
      <c r="B14" s="269"/>
      <c r="C14" s="266">
        <f ca="1">IF(ISERROR(VLOOKUP("Osobní náklady (Kč) *",INDIRECT("HI!$A:$G"),6,0)),0,VLOOKUP("Osobní náklady (Kč) *",INDIRECT("HI!$A:$G"),6,0))</f>
        <v>49393.942531249995</v>
      </c>
      <c r="D14" s="266">
        <f ca="1">IF(ISERROR(VLOOKUP("Osobní náklady (Kč) *",INDIRECT("HI!$A:$G"),5,0)),0,VLOOKUP("Osobní náklady (Kč) *",INDIRECT("HI!$A:$G"),5,0))</f>
        <v>54222.82561</v>
      </c>
      <c r="E14" s="267">
        <f ca="1">IF(C14=0,0,D14/C14)</f>
        <v>1.0977626573480124</v>
      </c>
    </row>
    <row r="15" spans="1:5" ht="14.4" customHeight="1" thickBot="1" x14ac:dyDescent="0.35">
      <c r="A15" s="279"/>
      <c r="B15" s="280"/>
      <c r="C15" s="281"/>
      <c r="D15" s="281"/>
      <c r="E15" s="282"/>
    </row>
    <row r="16" spans="1:5" ht="14.4" customHeight="1" thickBot="1" x14ac:dyDescent="0.35">
      <c r="A16" s="283" t="str">
        <f>HYPERLINK("#HI!A1","VÝNOSY CELKEM (v tisících)")</f>
        <v>VÝNOSY CELKEM (v tisících)</v>
      </c>
      <c r="B16" s="284"/>
      <c r="C16" s="285">
        <f ca="1">IF(ISERROR(VLOOKUP("Výnosy celkem",INDIRECT("HI!$A:$G"),6,0)),0,VLOOKUP("Výnosy celkem",INDIRECT("HI!$A:$G"),6,0))</f>
        <v>19792.830000000002</v>
      </c>
      <c r="D16" s="285">
        <f ca="1">IF(ISERROR(VLOOKUP("Výnosy celkem",INDIRECT("HI!$A:$G"),5,0)),0,VLOOKUP("Výnosy celkem",INDIRECT("HI!$A:$G"),5,0))</f>
        <v>19999.710000000003</v>
      </c>
      <c r="E16" s="286">
        <f t="shared" ref="E16:E26" ca="1" si="1">IF(C16=0,0,D16/C16)</f>
        <v>1.0104522698371077</v>
      </c>
    </row>
    <row r="17" spans="1:5" ht="14.4" customHeight="1" x14ac:dyDescent="0.3">
      <c r="A17" s="287" t="str">
        <f>HYPERLINK("#HI!A1","Ambulance (body za výkony + Kč za ZUM a ZULP)")</f>
        <v>Ambulance (body za výkony + Kč za ZUM a ZULP)</v>
      </c>
      <c r="B17" s="265"/>
      <c r="C17" s="266">
        <f ca="1">IF(ISERROR(VLOOKUP("Ambulance *",INDIRECT("HI!$A:$G"),6,0)),0,VLOOKUP("Ambulance *",INDIRECT("HI!$A:$G"),6,0))</f>
        <v>0</v>
      </c>
      <c r="D17" s="266">
        <f ca="1">IF(ISERROR(VLOOKUP("Ambulance *",INDIRECT("HI!$A:$G"),5,0)),0,VLOOKUP("Ambulance *",INDIRECT("HI!$A:$G"),5,0))</f>
        <v>0</v>
      </c>
      <c r="E17" s="267">
        <f t="shared" ca="1" si="1"/>
        <v>0</v>
      </c>
    </row>
    <row r="18" spans="1:5" ht="14.4" customHeight="1" x14ac:dyDescent="0.3">
      <c r="A18" s="288" t="str">
        <f>HYPERLINK("#'ZV Vykáz.-H'!A1","Zdravotní výkony vykázané u hospitalizovaných pacientů (max. 85 %)")</f>
        <v>Zdravotní výkony vykázané u hospitalizovaných pacientů (max. 85 %)</v>
      </c>
      <c r="B18" s="404" t="s">
        <v>137</v>
      </c>
      <c r="C18" s="271">
        <v>0.85</v>
      </c>
      <c r="D18" s="271">
        <f>IF(ISERROR(VLOOKUP("Celkem:",'ZV Vykáz.-H'!$A:$S,7,0)),"",VLOOKUP("Celkem:",'ZV Vykáz.-H'!$A:$S,7,0))</f>
        <v>1.0268423468471328</v>
      </c>
      <c r="E18" s="267">
        <f t="shared" si="1"/>
        <v>1.2080498198201564</v>
      </c>
    </row>
    <row r="19" spans="1:5" ht="14.4" customHeight="1" x14ac:dyDescent="0.3">
      <c r="A19" s="289" t="str">
        <f>HYPERLINK("#HI!A1","Hospitalizace (casemix * 30000)")</f>
        <v>Hospitalizace (casemix * 30000)</v>
      </c>
      <c r="B19" s="269"/>
      <c r="C19" s="266">
        <f ca="1">IF(ISERROR(VLOOKUP("Hospitalizace *",INDIRECT("HI!$A:$G"),6,0)),0,VLOOKUP("Hospitalizace *",INDIRECT("HI!$A:$G"),6,0))</f>
        <v>19792.830000000002</v>
      </c>
      <c r="D19" s="266">
        <f ca="1">IF(ISERROR(VLOOKUP("Hospitalizace *",INDIRECT("HI!$A:$G"),5,0)),0,VLOOKUP("Hospitalizace *",INDIRECT("HI!$A:$G"),5,0))</f>
        <v>19999.710000000003</v>
      </c>
      <c r="E19" s="267">
        <f ca="1">IF(C19=0,0,D19/C19)</f>
        <v>1.0104522698371077</v>
      </c>
    </row>
    <row r="20" spans="1:5" ht="14.4" customHeight="1" x14ac:dyDescent="0.3">
      <c r="A20" s="403" t="str">
        <f>HYPERLINK("#'CaseMix'!A1","Casemix (min. 100 % 2016)")</f>
        <v>Casemix (min. 100 % 2016)</v>
      </c>
      <c r="B20" s="269" t="s">
        <v>57</v>
      </c>
      <c r="C20" s="271">
        <v>1</v>
      </c>
      <c r="D20" s="271">
        <f>IF(ISERROR(VLOOKUP("Celkem",CaseMix!A:O,6,0)),0,VLOOKUP("Celkem",CaseMix!A:O,6,0))</f>
        <v>1.0104522698371077</v>
      </c>
      <c r="E20" s="267">
        <f t="shared" si="1"/>
        <v>1.0104522698371077</v>
      </c>
    </row>
    <row r="21" spans="1:5" ht="14.4" customHeight="1" x14ac:dyDescent="0.3">
      <c r="A21" s="402" t="str">
        <f>HYPERLINK("#'CaseMix'!A1","DRG - Úhrada formou případového paušálu")</f>
        <v>DRG - Úhrada formou případového paušálu</v>
      </c>
      <c r="B21" s="269" t="s">
        <v>57</v>
      </c>
      <c r="C21" s="271">
        <v>1</v>
      </c>
      <c r="D21" s="271">
        <f>IF(ISERROR(CaseMix!F26),"",CaseMix!F26)</f>
        <v>1.0177347948216902</v>
      </c>
      <c r="E21" s="267">
        <f t="shared" si="1"/>
        <v>1.0177347948216902</v>
      </c>
    </row>
    <row r="22" spans="1:5" ht="14.4" customHeight="1" x14ac:dyDescent="0.3">
      <c r="A22" s="402" t="str">
        <f>HYPERLINK("#'CaseMix'!A1","DRG - Individuálně smluvně sjednaná složka úhrady")</f>
        <v>DRG - Individuálně smluvně sjednaná složka úhrady</v>
      </c>
      <c r="B22" s="269" t="s">
        <v>57</v>
      </c>
      <c r="C22" s="271">
        <v>1</v>
      </c>
      <c r="D22" s="271">
        <f>IF(ISERROR(CaseMix!F39),"",CaseMix!F39)</f>
        <v>0</v>
      </c>
      <c r="E22" s="267">
        <f t="shared" si="1"/>
        <v>0</v>
      </c>
    </row>
    <row r="23" spans="1:5" ht="14.4" customHeight="1" x14ac:dyDescent="0.3">
      <c r="A23" s="401" t="str">
        <f>HYPERLINK("#'CaseMix'!A1","DRG - Úhrada vyčleněná z úhrady formou případového paušálu")</f>
        <v>DRG - Úhrada vyčleněná z úhrady formou případového paušálu</v>
      </c>
      <c r="B23" s="269" t="s">
        <v>57</v>
      </c>
      <c r="C23" s="271">
        <v>1</v>
      </c>
      <c r="D23" s="271">
        <f>IF(ISERROR(CaseMix!F52),"",CaseMix!F52)</f>
        <v>0</v>
      </c>
      <c r="E23" s="267">
        <f t="shared" ref="E23" si="2">IF(C23=0,0,D23/C23)</f>
        <v>0</v>
      </c>
    </row>
    <row r="24" spans="1:5" ht="14.4" customHeight="1" x14ac:dyDescent="0.3">
      <c r="A24" s="288" t="str">
        <f>HYPERLINK("#'CaseMix'!A1","Počet hospitalizací ukončených na pracovišti (min. 95 %)")</f>
        <v>Počet hospitalizací ukončených na pracovišti (min. 95 %)</v>
      </c>
      <c r="B24" s="269" t="s">
        <v>57</v>
      </c>
      <c r="C24" s="271">
        <v>0.95</v>
      </c>
      <c r="D24" s="271">
        <f>IF(ISERROR(CaseMix!K13),"",CaseMix!K13)</f>
        <v>0.97297297297297303</v>
      </c>
      <c r="E24" s="267">
        <f t="shared" si="1"/>
        <v>1.0241820768136558</v>
      </c>
    </row>
    <row r="25" spans="1:5" ht="14.4" customHeight="1" x14ac:dyDescent="0.3">
      <c r="A25" s="288" t="str">
        <f>HYPERLINK("#'ALOS'!A1","Průměrná délka hospitalizace (max. 100 % republikového průměru)")</f>
        <v>Průměrná délka hospitalizace (max. 100 % republikového průměru)</v>
      </c>
      <c r="B25" s="269" t="s">
        <v>72</v>
      </c>
      <c r="C25" s="271">
        <v>1</v>
      </c>
      <c r="D25" s="290">
        <f>IF(ISERROR(INDEX(ALOS!$E:$E,COUNT(ALOS!$E:$E)+32)),0,INDEX(ALOS!$E:$E,COUNT(ALOS!$E:$E)+32))</f>
        <v>0.76546003016591246</v>
      </c>
      <c r="E25" s="267">
        <f t="shared" si="1"/>
        <v>0.76546003016591246</v>
      </c>
    </row>
    <row r="26" spans="1:5" ht="27.6" x14ac:dyDescent="0.3">
      <c r="A26" s="2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269" t="s">
        <v>134</v>
      </c>
      <c r="C26" s="271">
        <f>IF(E20&gt;1,95%,95%-2*ABS(C20-D20))</f>
        <v>0.95</v>
      </c>
      <c r="D26" s="271">
        <f>IF(ISERROR(VLOOKUP("Celkem:",'ZV Vyžád.'!$A:$M,7,0)),"",VLOOKUP("Celkem:",'ZV Vyžád.'!$A:$M,7,0))</f>
        <v>0.98770363986195531</v>
      </c>
      <c r="E26" s="267">
        <f t="shared" si="1"/>
        <v>1.039688041959953</v>
      </c>
    </row>
    <row r="27" spans="1:5" ht="14.4" customHeight="1" thickBot="1" x14ac:dyDescent="0.35">
      <c r="A27" s="292" t="s">
        <v>171</v>
      </c>
      <c r="B27" s="276"/>
      <c r="C27" s="277"/>
      <c r="D27" s="277"/>
      <c r="E27" s="278"/>
    </row>
    <row r="28" spans="1:5" ht="14.4" customHeight="1" thickBot="1" x14ac:dyDescent="0.35">
      <c r="A28" s="293"/>
      <c r="B28" s="294"/>
      <c r="C28" s="295"/>
      <c r="D28" s="295"/>
      <c r="E28" s="296"/>
    </row>
    <row r="29" spans="1:5" ht="14.4" customHeight="1" thickBot="1" x14ac:dyDescent="0.35">
      <c r="A29" s="297" t="s">
        <v>172</v>
      </c>
      <c r="B29" s="298"/>
      <c r="C29" s="299"/>
      <c r="D29" s="299"/>
      <c r="E29" s="300"/>
    </row>
  </sheetData>
  <mergeCells count="1">
    <mergeCell ref="A1:E1"/>
  </mergeCells>
  <conditionalFormatting sqref="E5">
    <cfRule type="cellIs" dxfId="7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9">
    <cfRule type="cellIs" dxfId="7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0:E22 E16 E8 E24">
    <cfRule type="cellIs" dxfId="6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6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3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5" operator="lessThan">
      <formula>1</formula>
    </cfRule>
  </conditionalFormatting>
  <conditionalFormatting sqref="E25:E26 E4 E7 E13 E18">
    <cfRule type="cellIs" dxfId="6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91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87" customWidth="1"/>
    <col min="2" max="2" width="6.5546875" style="197" hidden="1" customWidth="1" outlineLevel="1"/>
    <col min="3" max="3" width="5.88671875" style="197" hidden="1" customWidth="1" outlineLevel="1"/>
    <col min="4" max="4" width="7.6640625" style="197" hidden="1" customWidth="1" outlineLevel="1"/>
    <col min="5" max="5" width="6.5546875" style="90" customWidth="1" collapsed="1"/>
    <col min="6" max="6" width="5.88671875" style="90" customWidth="1"/>
    <col min="7" max="7" width="7.6640625" style="90" customWidth="1"/>
    <col min="8" max="8" width="6.5546875" style="90" customWidth="1"/>
    <col min="9" max="9" width="5.88671875" style="90" customWidth="1"/>
    <col min="10" max="10" width="7.6640625" style="90" customWidth="1"/>
    <col min="11" max="11" width="9.109375" style="90" customWidth="1"/>
    <col min="12" max="12" width="3.88671875" style="90" customWidth="1"/>
    <col min="13" max="13" width="4.33203125" style="90" customWidth="1"/>
    <col min="14" max="14" width="5.44140625" style="90" customWidth="1"/>
    <col min="15" max="15" width="4" style="90" customWidth="1"/>
    <col min="16" max="16" width="55.5546875" style="84" customWidth="1"/>
    <col min="17" max="17" width="7.77734375" style="88" hidden="1" customWidth="1" outlineLevel="1"/>
    <col min="18" max="18" width="5.88671875" style="88" hidden="1" customWidth="1" outlineLevel="1"/>
    <col min="19" max="19" width="7.77734375" style="88" customWidth="1" collapsed="1"/>
    <col min="20" max="20" width="6" style="88" customWidth="1"/>
    <col min="21" max="22" width="9.6640625" style="197" customWidth="1"/>
    <col min="23" max="23" width="7.6640625" style="197" customWidth="1"/>
    <col min="24" max="24" width="6.109375" style="91" customWidth="1"/>
    <col min="25" max="25" width="17.109375" style="89" bestFit="1" customWidth="1"/>
    <col min="26" max="16384" width="8.88671875" style="84"/>
  </cols>
  <sheetData>
    <row r="1" spans="1:25" s="294" customFormat="1" ht="18.600000000000001" customHeight="1" thickBot="1" x14ac:dyDescent="0.4">
      <c r="A1" s="537" t="s">
        <v>4113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</row>
    <row r="2" spans="1:25" ht="14.4" customHeight="1" thickBot="1" x14ac:dyDescent="0.35">
      <c r="A2" s="348" t="s">
        <v>297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4"/>
      <c r="Q2" s="344"/>
      <c r="R2" s="344"/>
      <c r="S2" s="344"/>
      <c r="T2" s="344"/>
      <c r="U2" s="345"/>
      <c r="V2" s="345"/>
      <c r="W2" s="345"/>
      <c r="X2" s="344"/>
      <c r="Y2" s="346"/>
    </row>
    <row r="3" spans="1:25" s="85" customFormat="1" ht="14.4" customHeight="1" x14ac:dyDescent="0.3">
      <c r="A3" s="632" t="s">
        <v>61</v>
      </c>
      <c r="B3" s="634">
        <v>2015</v>
      </c>
      <c r="C3" s="635"/>
      <c r="D3" s="636"/>
      <c r="E3" s="634">
        <v>2017</v>
      </c>
      <c r="F3" s="635"/>
      <c r="G3" s="636"/>
      <c r="H3" s="634">
        <v>2018</v>
      </c>
      <c r="I3" s="635"/>
      <c r="J3" s="636"/>
      <c r="K3" s="637" t="s">
        <v>62</v>
      </c>
      <c r="L3" s="626" t="s">
        <v>63</v>
      </c>
      <c r="M3" s="626" t="s">
        <v>64</v>
      </c>
      <c r="N3" s="626" t="s">
        <v>65</v>
      </c>
      <c r="O3" s="245" t="s">
        <v>66</v>
      </c>
      <c r="P3" s="628" t="s">
        <v>67</v>
      </c>
      <c r="Q3" s="630" t="s">
        <v>238</v>
      </c>
      <c r="R3" s="631"/>
      <c r="S3" s="630" t="s">
        <v>68</v>
      </c>
      <c r="T3" s="631"/>
      <c r="U3" s="624" t="s">
        <v>69</v>
      </c>
      <c r="V3" s="625"/>
      <c r="W3" s="625"/>
      <c r="X3" s="625"/>
      <c r="Y3" s="198" t="s">
        <v>69</v>
      </c>
    </row>
    <row r="4" spans="1:25" s="86" customFormat="1" ht="14.4" customHeight="1" thickBot="1" x14ac:dyDescent="0.35">
      <c r="A4" s="633"/>
      <c r="B4" s="418" t="s">
        <v>70</v>
      </c>
      <c r="C4" s="416" t="s">
        <v>58</v>
      </c>
      <c r="D4" s="419" t="s">
        <v>71</v>
      </c>
      <c r="E4" s="418" t="s">
        <v>70</v>
      </c>
      <c r="F4" s="416" t="s">
        <v>58</v>
      </c>
      <c r="G4" s="419" t="s">
        <v>71</v>
      </c>
      <c r="H4" s="418" t="s">
        <v>70</v>
      </c>
      <c r="I4" s="416" t="s">
        <v>58</v>
      </c>
      <c r="J4" s="419" t="s">
        <v>71</v>
      </c>
      <c r="K4" s="638"/>
      <c r="L4" s="627"/>
      <c r="M4" s="627"/>
      <c r="N4" s="627"/>
      <c r="O4" s="420"/>
      <c r="P4" s="629"/>
      <c r="Q4" s="421" t="s">
        <v>59</v>
      </c>
      <c r="R4" s="422" t="s">
        <v>58</v>
      </c>
      <c r="S4" s="421" t="s">
        <v>59</v>
      </c>
      <c r="T4" s="422" t="s">
        <v>58</v>
      </c>
      <c r="U4" s="423" t="s">
        <v>72</v>
      </c>
      <c r="V4" s="417" t="s">
        <v>73</v>
      </c>
      <c r="W4" s="417" t="s">
        <v>74</v>
      </c>
      <c r="X4" s="424" t="s">
        <v>2</v>
      </c>
      <c r="Y4" s="425" t="s">
        <v>75</v>
      </c>
    </row>
    <row r="5" spans="1:25" s="426" customFormat="1" ht="14.4" customHeight="1" x14ac:dyDescent="0.3">
      <c r="A5" s="803" t="s">
        <v>3946</v>
      </c>
      <c r="B5" s="804"/>
      <c r="C5" s="805"/>
      <c r="D5" s="806"/>
      <c r="E5" s="807">
        <v>1</v>
      </c>
      <c r="F5" s="808">
        <v>15.2</v>
      </c>
      <c r="G5" s="809">
        <v>27</v>
      </c>
      <c r="H5" s="810"/>
      <c r="I5" s="811"/>
      <c r="J5" s="812"/>
      <c r="K5" s="813">
        <v>13.87</v>
      </c>
      <c r="L5" s="810">
        <v>11</v>
      </c>
      <c r="M5" s="810">
        <v>72</v>
      </c>
      <c r="N5" s="814">
        <v>24</v>
      </c>
      <c r="O5" s="810" t="s">
        <v>3947</v>
      </c>
      <c r="P5" s="815" t="s">
        <v>3948</v>
      </c>
      <c r="Q5" s="816">
        <f>H5-B5</f>
        <v>0</v>
      </c>
      <c r="R5" s="831">
        <f>I5-C5</f>
        <v>0</v>
      </c>
      <c r="S5" s="816">
        <f>H5-E5</f>
        <v>-1</v>
      </c>
      <c r="T5" s="831">
        <f>I5-F5</f>
        <v>-15.2</v>
      </c>
      <c r="U5" s="841" t="s">
        <v>507</v>
      </c>
      <c r="V5" s="804" t="s">
        <v>507</v>
      </c>
      <c r="W5" s="804" t="s">
        <v>507</v>
      </c>
      <c r="X5" s="842" t="s">
        <v>507</v>
      </c>
      <c r="Y5" s="843"/>
    </row>
    <row r="6" spans="1:25" ht="14.4" customHeight="1" x14ac:dyDescent="0.3">
      <c r="A6" s="801" t="s">
        <v>3949</v>
      </c>
      <c r="B6" s="774">
        <v>1</v>
      </c>
      <c r="C6" s="775">
        <v>7.09</v>
      </c>
      <c r="D6" s="776">
        <v>6</v>
      </c>
      <c r="E6" s="786">
        <v>1</v>
      </c>
      <c r="F6" s="769">
        <v>7.09</v>
      </c>
      <c r="G6" s="770">
        <v>5</v>
      </c>
      <c r="H6" s="768"/>
      <c r="I6" s="769"/>
      <c r="J6" s="770"/>
      <c r="K6" s="771">
        <v>7.09</v>
      </c>
      <c r="L6" s="768">
        <v>5</v>
      </c>
      <c r="M6" s="768">
        <v>45</v>
      </c>
      <c r="N6" s="772">
        <v>15</v>
      </c>
      <c r="O6" s="768" t="s">
        <v>3947</v>
      </c>
      <c r="P6" s="785" t="s">
        <v>3950</v>
      </c>
      <c r="Q6" s="773">
        <f t="shared" ref="Q6:R69" si="0">H6-B6</f>
        <v>-1</v>
      </c>
      <c r="R6" s="832">
        <f t="shared" si="0"/>
        <v>-7.09</v>
      </c>
      <c r="S6" s="773">
        <f t="shared" ref="S6:S69" si="1">H6-E6</f>
        <v>-1</v>
      </c>
      <c r="T6" s="832">
        <f t="shared" ref="T6:T69" si="2">I6-F6</f>
        <v>-7.09</v>
      </c>
      <c r="U6" s="839" t="s">
        <v>507</v>
      </c>
      <c r="V6" s="782" t="s">
        <v>507</v>
      </c>
      <c r="W6" s="782" t="s">
        <v>507</v>
      </c>
      <c r="X6" s="837" t="s">
        <v>507</v>
      </c>
      <c r="Y6" s="835"/>
    </row>
    <row r="7" spans="1:25" ht="14.4" customHeight="1" x14ac:dyDescent="0.3">
      <c r="A7" s="802" t="s">
        <v>3951</v>
      </c>
      <c r="B7" s="788">
        <v>3</v>
      </c>
      <c r="C7" s="789">
        <v>27.42</v>
      </c>
      <c r="D7" s="777">
        <v>10.3</v>
      </c>
      <c r="E7" s="790"/>
      <c r="F7" s="791"/>
      <c r="G7" s="778"/>
      <c r="H7" s="792">
        <v>2</v>
      </c>
      <c r="I7" s="791">
        <v>16.11</v>
      </c>
      <c r="J7" s="778">
        <v>11</v>
      </c>
      <c r="K7" s="793">
        <v>7.77</v>
      </c>
      <c r="L7" s="792">
        <v>5</v>
      </c>
      <c r="M7" s="792">
        <v>45</v>
      </c>
      <c r="N7" s="794">
        <v>15</v>
      </c>
      <c r="O7" s="792" t="s">
        <v>3947</v>
      </c>
      <c r="P7" s="795" t="s">
        <v>3952</v>
      </c>
      <c r="Q7" s="796">
        <f t="shared" si="0"/>
        <v>-1</v>
      </c>
      <c r="R7" s="833">
        <f t="shared" si="0"/>
        <v>-11.310000000000002</v>
      </c>
      <c r="S7" s="796">
        <f t="shared" si="1"/>
        <v>2</v>
      </c>
      <c r="T7" s="833">
        <f t="shared" si="2"/>
        <v>16.11</v>
      </c>
      <c r="U7" s="840">
        <v>30</v>
      </c>
      <c r="V7" s="797">
        <v>22</v>
      </c>
      <c r="W7" s="797">
        <v>-8</v>
      </c>
      <c r="X7" s="838">
        <v>0.73333333333333328</v>
      </c>
      <c r="Y7" s="836"/>
    </row>
    <row r="8" spans="1:25" ht="14.4" customHeight="1" x14ac:dyDescent="0.3">
      <c r="A8" s="801" t="s">
        <v>3953</v>
      </c>
      <c r="B8" s="782">
        <v>2</v>
      </c>
      <c r="C8" s="783">
        <v>70.12</v>
      </c>
      <c r="D8" s="784">
        <v>50</v>
      </c>
      <c r="E8" s="786">
        <v>1</v>
      </c>
      <c r="F8" s="769">
        <v>33.15</v>
      </c>
      <c r="G8" s="770">
        <v>28</v>
      </c>
      <c r="H8" s="765">
        <v>4</v>
      </c>
      <c r="I8" s="766">
        <v>135.38999999999999</v>
      </c>
      <c r="J8" s="779">
        <v>48</v>
      </c>
      <c r="K8" s="771">
        <v>33.15</v>
      </c>
      <c r="L8" s="768">
        <v>22</v>
      </c>
      <c r="M8" s="768">
        <v>135</v>
      </c>
      <c r="N8" s="772">
        <v>45</v>
      </c>
      <c r="O8" s="768" t="s">
        <v>3947</v>
      </c>
      <c r="P8" s="785" t="s">
        <v>3954</v>
      </c>
      <c r="Q8" s="773">
        <f t="shared" si="0"/>
        <v>2</v>
      </c>
      <c r="R8" s="832">
        <f t="shared" si="0"/>
        <v>65.269999999999982</v>
      </c>
      <c r="S8" s="773">
        <f t="shared" si="1"/>
        <v>3</v>
      </c>
      <c r="T8" s="832">
        <f t="shared" si="2"/>
        <v>102.23999999999998</v>
      </c>
      <c r="U8" s="839">
        <v>180</v>
      </c>
      <c r="V8" s="782">
        <v>192</v>
      </c>
      <c r="W8" s="782">
        <v>12</v>
      </c>
      <c r="X8" s="837">
        <v>1.0666666666666667</v>
      </c>
      <c r="Y8" s="835">
        <v>29</v>
      </c>
    </row>
    <row r="9" spans="1:25" ht="14.4" customHeight="1" x14ac:dyDescent="0.3">
      <c r="A9" s="801" t="s">
        <v>3955</v>
      </c>
      <c r="B9" s="782"/>
      <c r="C9" s="783"/>
      <c r="D9" s="784"/>
      <c r="E9" s="786"/>
      <c r="F9" s="769"/>
      <c r="G9" s="770"/>
      <c r="H9" s="765">
        <v>1</v>
      </c>
      <c r="I9" s="766">
        <v>20.05</v>
      </c>
      <c r="J9" s="767">
        <v>15</v>
      </c>
      <c r="K9" s="771">
        <v>20.05</v>
      </c>
      <c r="L9" s="768">
        <v>11</v>
      </c>
      <c r="M9" s="768">
        <v>90</v>
      </c>
      <c r="N9" s="772">
        <v>30</v>
      </c>
      <c r="O9" s="768" t="s">
        <v>3947</v>
      </c>
      <c r="P9" s="785" t="s">
        <v>3956</v>
      </c>
      <c r="Q9" s="773">
        <f t="shared" si="0"/>
        <v>1</v>
      </c>
      <c r="R9" s="832">
        <f t="shared" si="0"/>
        <v>20.05</v>
      </c>
      <c r="S9" s="773">
        <f t="shared" si="1"/>
        <v>1</v>
      </c>
      <c r="T9" s="832">
        <f t="shared" si="2"/>
        <v>20.05</v>
      </c>
      <c r="U9" s="839">
        <v>30</v>
      </c>
      <c r="V9" s="782">
        <v>15</v>
      </c>
      <c r="W9" s="782">
        <v>-15</v>
      </c>
      <c r="X9" s="837">
        <v>0.5</v>
      </c>
      <c r="Y9" s="835"/>
    </row>
    <row r="10" spans="1:25" ht="14.4" customHeight="1" x14ac:dyDescent="0.3">
      <c r="A10" s="802" t="s">
        <v>3957</v>
      </c>
      <c r="B10" s="797"/>
      <c r="C10" s="798"/>
      <c r="D10" s="787"/>
      <c r="E10" s="790">
        <v>2</v>
      </c>
      <c r="F10" s="791">
        <v>40.11</v>
      </c>
      <c r="G10" s="778">
        <v>27</v>
      </c>
      <c r="H10" s="799">
        <v>2</v>
      </c>
      <c r="I10" s="800">
        <v>40.11</v>
      </c>
      <c r="J10" s="780">
        <v>19.5</v>
      </c>
      <c r="K10" s="793">
        <v>20.05</v>
      </c>
      <c r="L10" s="792">
        <v>11</v>
      </c>
      <c r="M10" s="792">
        <v>90</v>
      </c>
      <c r="N10" s="794">
        <v>30</v>
      </c>
      <c r="O10" s="792" t="s">
        <v>3947</v>
      </c>
      <c r="P10" s="795" t="s">
        <v>3956</v>
      </c>
      <c r="Q10" s="796">
        <f t="shared" si="0"/>
        <v>2</v>
      </c>
      <c r="R10" s="833">
        <f t="shared" si="0"/>
        <v>40.11</v>
      </c>
      <c r="S10" s="796">
        <f t="shared" si="1"/>
        <v>0</v>
      </c>
      <c r="T10" s="833">
        <f t="shared" si="2"/>
        <v>0</v>
      </c>
      <c r="U10" s="840">
        <v>60</v>
      </c>
      <c r="V10" s="797">
        <v>39</v>
      </c>
      <c r="W10" s="797">
        <v>-21</v>
      </c>
      <c r="X10" s="838">
        <v>0.65</v>
      </c>
      <c r="Y10" s="836"/>
    </row>
    <row r="11" spans="1:25" ht="14.4" customHeight="1" x14ac:dyDescent="0.3">
      <c r="A11" s="802" t="s">
        <v>3958</v>
      </c>
      <c r="B11" s="797">
        <v>2</v>
      </c>
      <c r="C11" s="798">
        <v>66.48</v>
      </c>
      <c r="D11" s="787">
        <v>65</v>
      </c>
      <c r="E11" s="790">
        <v>6</v>
      </c>
      <c r="F11" s="791">
        <v>124.25</v>
      </c>
      <c r="G11" s="778">
        <v>16.5</v>
      </c>
      <c r="H11" s="799">
        <v>7</v>
      </c>
      <c r="I11" s="800">
        <v>143.75</v>
      </c>
      <c r="J11" s="781">
        <v>39.1</v>
      </c>
      <c r="K11" s="793">
        <v>20.34</v>
      </c>
      <c r="L11" s="792">
        <v>11</v>
      </c>
      <c r="M11" s="792">
        <v>87</v>
      </c>
      <c r="N11" s="794">
        <v>29</v>
      </c>
      <c r="O11" s="792" t="s">
        <v>3947</v>
      </c>
      <c r="P11" s="795" t="s">
        <v>3956</v>
      </c>
      <c r="Q11" s="796">
        <f t="shared" si="0"/>
        <v>5</v>
      </c>
      <c r="R11" s="833">
        <f t="shared" si="0"/>
        <v>77.27</v>
      </c>
      <c r="S11" s="796">
        <f t="shared" si="1"/>
        <v>1</v>
      </c>
      <c r="T11" s="833">
        <f t="shared" si="2"/>
        <v>19.5</v>
      </c>
      <c r="U11" s="840">
        <v>203</v>
      </c>
      <c r="V11" s="797">
        <v>273.7</v>
      </c>
      <c r="W11" s="797">
        <v>70.699999999999989</v>
      </c>
      <c r="X11" s="838">
        <v>1.3482758620689654</v>
      </c>
      <c r="Y11" s="836">
        <v>93</v>
      </c>
    </row>
    <row r="12" spans="1:25" ht="14.4" customHeight="1" x14ac:dyDescent="0.3">
      <c r="A12" s="801" t="s">
        <v>3959</v>
      </c>
      <c r="B12" s="782">
        <v>1</v>
      </c>
      <c r="C12" s="783">
        <v>12.38</v>
      </c>
      <c r="D12" s="784">
        <v>7</v>
      </c>
      <c r="E12" s="765">
        <v>1</v>
      </c>
      <c r="F12" s="766">
        <v>12.38</v>
      </c>
      <c r="G12" s="767">
        <v>12</v>
      </c>
      <c r="H12" s="768"/>
      <c r="I12" s="769"/>
      <c r="J12" s="770"/>
      <c r="K12" s="771">
        <v>12.38</v>
      </c>
      <c r="L12" s="768">
        <v>5</v>
      </c>
      <c r="M12" s="768">
        <v>60</v>
      </c>
      <c r="N12" s="772">
        <v>20</v>
      </c>
      <c r="O12" s="768" t="s">
        <v>3947</v>
      </c>
      <c r="P12" s="785" t="s">
        <v>3960</v>
      </c>
      <c r="Q12" s="773">
        <f t="shared" si="0"/>
        <v>-1</v>
      </c>
      <c r="R12" s="832">
        <f t="shared" si="0"/>
        <v>-12.38</v>
      </c>
      <c r="S12" s="773">
        <f t="shared" si="1"/>
        <v>-1</v>
      </c>
      <c r="T12" s="832">
        <f t="shared" si="2"/>
        <v>-12.38</v>
      </c>
      <c r="U12" s="839" t="s">
        <v>507</v>
      </c>
      <c r="V12" s="782" t="s">
        <v>507</v>
      </c>
      <c r="W12" s="782" t="s">
        <v>507</v>
      </c>
      <c r="X12" s="837" t="s">
        <v>507</v>
      </c>
      <c r="Y12" s="835"/>
    </row>
    <row r="13" spans="1:25" ht="14.4" customHeight="1" x14ac:dyDescent="0.3">
      <c r="A13" s="802" t="s">
        <v>3961</v>
      </c>
      <c r="B13" s="797">
        <v>10</v>
      </c>
      <c r="C13" s="798">
        <v>144.72</v>
      </c>
      <c r="D13" s="787">
        <v>25.8</v>
      </c>
      <c r="E13" s="799">
        <v>12</v>
      </c>
      <c r="F13" s="800">
        <v>151.78</v>
      </c>
      <c r="G13" s="780">
        <v>12</v>
      </c>
      <c r="H13" s="792">
        <v>12</v>
      </c>
      <c r="I13" s="791">
        <v>153.38999999999999</v>
      </c>
      <c r="J13" s="778">
        <v>14.7</v>
      </c>
      <c r="K13" s="793">
        <v>12.65</v>
      </c>
      <c r="L13" s="792">
        <v>5</v>
      </c>
      <c r="M13" s="792">
        <v>60</v>
      </c>
      <c r="N13" s="794">
        <v>20</v>
      </c>
      <c r="O13" s="792" t="s">
        <v>3947</v>
      </c>
      <c r="P13" s="795" t="s">
        <v>3960</v>
      </c>
      <c r="Q13" s="796">
        <f t="shared" si="0"/>
        <v>2</v>
      </c>
      <c r="R13" s="833">
        <f t="shared" si="0"/>
        <v>8.6699999999999875</v>
      </c>
      <c r="S13" s="796">
        <f t="shared" si="1"/>
        <v>0</v>
      </c>
      <c r="T13" s="833">
        <f t="shared" si="2"/>
        <v>1.6099999999999852</v>
      </c>
      <c r="U13" s="840">
        <v>240</v>
      </c>
      <c r="V13" s="797">
        <v>176.39999999999998</v>
      </c>
      <c r="W13" s="797">
        <v>-63.600000000000023</v>
      </c>
      <c r="X13" s="838">
        <v>0.73499999999999988</v>
      </c>
      <c r="Y13" s="836">
        <v>16</v>
      </c>
    </row>
    <row r="14" spans="1:25" ht="14.4" customHeight="1" x14ac:dyDescent="0.3">
      <c r="A14" s="801" t="s">
        <v>3962</v>
      </c>
      <c r="B14" s="782"/>
      <c r="C14" s="783"/>
      <c r="D14" s="784"/>
      <c r="E14" s="765">
        <v>1</v>
      </c>
      <c r="F14" s="766">
        <v>5.05</v>
      </c>
      <c r="G14" s="767">
        <v>3</v>
      </c>
      <c r="H14" s="768"/>
      <c r="I14" s="769"/>
      <c r="J14" s="770"/>
      <c r="K14" s="771">
        <v>6.5</v>
      </c>
      <c r="L14" s="768">
        <v>4</v>
      </c>
      <c r="M14" s="768">
        <v>39</v>
      </c>
      <c r="N14" s="772">
        <v>13</v>
      </c>
      <c r="O14" s="768" t="s">
        <v>3947</v>
      </c>
      <c r="P14" s="785" t="s">
        <v>3963</v>
      </c>
      <c r="Q14" s="773">
        <f t="shared" si="0"/>
        <v>0</v>
      </c>
      <c r="R14" s="832">
        <f t="shared" si="0"/>
        <v>0</v>
      </c>
      <c r="S14" s="773">
        <f t="shared" si="1"/>
        <v>-1</v>
      </c>
      <c r="T14" s="832">
        <f t="shared" si="2"/>
        <v>-5.05</v>
      </c>
      <c r="U14" s="839" t="s">
        <v>507</v>
      </c>
      <c r="V14" s="782" t="s">
        <v>507</v>
      </c>
      <c r="W14" s="782" t="s">
        <v>507</v>
      </c>
      <c r="X14" s="837" t="s">
        <v>507</v>
      </c>
      <c r="Y14" s="835"/>
    </row>
    <row r="15" spans="1:25" ht="14.4" customHeight="1" x14ac:dyDescent="0.3">
      <c r="A15" s="801" t="s">
        <v>3964</v>
      </c>
      <c r="B15" s="774">
        <v>1</v>
      </c>
      <c r="C15" s="775">
        <v>2.2999999999999998</v>
      </c>
      <c r="D15" s="776">
        <v>36</v>
      </c>
      <c r="E15" s="786"/>
      <c r="F15" s="769"/>
      <c r="G15" s="770"/>
      <c r="H15" s="768"/>
      <c r="I15" s="769"/>
      <c r="J15" s="770"/>
      <c r="K15" s="771">
        <v>1.0900000000000001</v>
      </c>
      <c r="L15" s="768">
        <v>3</v>
      </c>
      <c r="M15" s="768">
        <v>27</v>
      </c>
      <c r="N15" s="772">
        <v>9</v>
      </c>
      <c r="O15" s="768" t="s">
        <v>3947</v>
      </c>
      <c r="P15" s="785" t="s">
        <v>3965</v>
      </c>
      <c r="Q15" s="773">
        <f t="shared" si="0"/>
        <v>-1</v>
      </c>
      <c r="R15" s="832">
        <f t="shared" si="0"/>
        <v>-2.2999999999999998</v>
      </c>
      <c r="S15" s="773">
        <f t="shared" si="1"/>
        <v>0</v>
      </c>
      <c r="T15" s="832">
        <f t="shared" si="2"/>
        <v>0</v>
      </c>
      <c r="U15" s="839" t="s">
        <v>507</v>
      </c>
      <c r="V15" s="782" t="s">
        <v>507</v>
      </c>
      <c r="W15" s="782" t="s">
        <v>507</v>
      </c>
      <c r="X15" s="837" t="s">
        <v>507</v>
      </c>
      <c r="Y15" s="835"/>
    </row>
    <row r="16" spans="1:25" ht="14.4" customHeight="1" x14ac:dyDescent="0.3">
      <c r="A16" s="801" t="s">
        <v>3966</v>
      </c>
      <c r="B16" s="782"/>
      <c r="C16" s="783"/>
      <c r="D16" s="784"/>
      <c r="E16" s="786"/>
      <c r="F16" s="769"/>
      <c r="G16" s="770"/>
      <c r="H16" s="765">
        <v>1</v>
      </c>
      <c r="I16" s="766">
        <v>2.38</v>
      </c>
      <c r="J16" s="767">
        <v>3</v>
      </c>
      <c r="K16" s="771">
        <v>2.38</v>
      </c>
      <c r="L16" s="768">
        <v>3</v>
      </c>
      <c r="M16" s="768">
        <v>30</v>
      </c>
      <c r="N16" s="772">
        <v>10</v>
      </c>
      <c r="O16" s="768" t="s">
        <v>3947</v>
      </c>
      <c r="P16" s="785" t="s">
        <v>3967</v>
      </c>
      <c r="Q16" s="773">
        <f t="shared" si="0"/>
        <v>1</v>
      </c>
      <c r="R16" s="832">
        <f t="shared" si="0"/>
        <v>2.38</v>
      </c>
      <c r="S16" s="773">
        <f t="shared" si="1"/>
        <v>1</v>
      </c>
      <c r="T16" s="832">
        <f t="shared" si="2"/>
        <v>2.38</v>
      </c>
      <c r="U16" s="839">
        <v>10</v>
      </c>
      <c r="V16" s="782">
        <v>3</v>
      </c>
      <c r="W16" s="782">
        <v>-7</v>
      </c>
      <c r="X16" s="837">
        <v>0.3</v>
      </c>
      <c r="Y16" s="835"/>
    </row>
    <row r="17" spans="1:25" ht="14.4" customHeight="1" x14ac:dyDescent="0.3">
      <c r="A17" s="801" t="s">
        <v>3968</v>
      </c>
      <c r="B17" s="774">
        <v>1</v>
      </c>
      <c r="C17" s="775">
        <v>0.57999999999999996</v>
      </c>
      <c r="D17" s="776">
        <v>3</v>
      </c>
      <c r="E17" s="786"/>
      <c r="F17" s="769"/>
      <c r="G17" s="770"/>
      <c r="H17" s="768"/>
      <c r="I17" s="769"/>
      <c r="J17" s="770"/>
      <c r="K17" s="771">
        <v>0.57999999999999996</v>
      </c>
      <c r="L17" s="768">
        <v>2</v>
      </c>
      <c r="M17" s="768">
        <v>18</v>
      </c>
      <c r="N17" s="772">
        <v>6</v>
      </c>
      <c r="O17" s="768" t="s">
        <v>3947</v>
      </c>
      <c r="P17" s="785" t="s">
        <v>3969</v>
      </c>
      <c r="Q17" s="773">
        <f t="shared" si="0"/>
        <v>-1</v>
      </c>
      <c r="R17" s="832">
        <f t="shared" si="0"/>
        <v>-0.57999999999999996</v>
      </c>
      <c r="S17" s="773">
        <f t="shared" si="1"/>
        <v>0</v>
      </c>
      <c r="T17" s="832">
        <f t="shared" si="2"/>
        <v>0</v>
      </c>
      <c r="U17" s="839" t="s">
        <v>507</v>
      </c>
      <c r="V17" s="782" t="s">
        <v>507</v>
      </c>
      <c r="W17" s="782" t="s">
        <v>507</v>
      </c>
      <c r="X17" s="837" t="s">
        <v>507</v>
      </c>
      <c r="Y17" s="835"/>
    </row>
    <row r="18" spans="1:25" ht="14.4" customHeight="1" x14ac:dyDescent="0.3">
      <c r="A18" s="801" t="s">
        <v>3970</v>
      </c>
      <c r="B18" s="782"/>
      <c r="C18" s="783"/>
      <c r="D18" s="784"/>
      <c r="E18" s="786"/>
      <c r="F18" s="769"/>
      <c r="G18" s="770"/>
      <c r="H18" s="765">
        <v>1</v>
      </c>
      <c r="I18" s="766">
        <v>1.99</v>
      </c>
      <c r="J18" s="767">
        <v>4</v>
      </c>
      <c r="K18" s="771">
        <v>2.41</v>
      </c>
      <c r="L18" s="768">
        <v>5</v>
      </c>
      <c r="M18" s="768">
        <v>48</v>
      </c>
      <c r="N18" s="772">
        <v>16</v>
      </c>
      <c r="O18" s="768" t="s">
        <v>3947</v>
      </c>
      <c r="P18" s="785" t="s">
        <v>3971</v>
      </c>
      <c r="Q18" s="773">
        <f t="shared" si="0"/>
        <v>1</v>
      </c>
      <c r="R18" s="832">
        <f t="shared" si="0"/>
        <v>1.99</v>
      </c>
      <c r="S18" s="773">
        <f t="shared" si="1"/>
        <v>1</v>
      </c>
      <c r="T18" s="832">
        <f t="shared" si="2"/>
        <v>1.99</v>
      </c>
      <c r="U18" s="839">
        <v>16</v>
      </c>
      <c r="V18" s="782">
        <v>4</v>
      </c>
      <c r="W18" s="782">
        <v>-12</v>
      </c>
      <c r="X18" s="837">
        <v>0.25</v>
      </c>
      <c r="Y18" s="835"/>
    </row>
    <row r="19" spans="1:25" ht="14.4" customHeight="1" x14ac:dyDescent="0.3">
      <c r="A19" s="801" t="s">
        <v>3972</v>
      </c>
      <c r="B19" s="774">
        <v>2</v>
      </c>
      <c r="C19" s="775">
        <v>3.72</v>
      </c>
      <c r="D19" s="776">
        <v>10</v>
      </c>
      <c r="E19" s="786"/>
      <c r="F19" s="769"/>
      <c r="G19" s="770"/>
      <c r="H19" s="768">
        <v>1</v>
      </c>
      <c r="I19" s="769">
        <v>1.84</v>
      </c>
      <c r="J19" s="770">
        <v>5</v>
      </c>
      <c r="K19" s="771">
        <v>1.67</v>
      </c>
      <c r="L19" s="768">
        <v>3</v>
      </c>
      <c r="M19" s="768">
        <v>27</v>
      </c>
      <c r="N19" s="772">
        <v>9</v>
      </c>
      <c r="O19" s="768" t="s">
        <v>3947</v>
      </c>
      <c r="P19" s="785" t="s">
        <v>3973</v>
      </c>
      <c r="Q19" s="773">
        <f t="shared" si="0"/>
        <v>-1</v>
      </c>
      <c r="R19" s="832">
        <f t="shared" si="0"/>
        <v>-1.8800000000000001</v>
      </c>
      <c r="S19" s="773">
        <f t="shared" si="1"/>
        <v>1</v>
      </c>
      <c r="T19" s="832">
        <f t="shared" si="2"/>
        <v>1.84</v>
      </c>
      <c r="U19" s="839">
        <v>9</v>
      </c>
      <c r="V19" s="782">
        <v>5</v>
      </c>
      <c r="W19" s="782">
        <v>-4</v>
      </c>
      <c r="X19" s="837">
        <v>0.55555555555555558</v>
      </c>
      <c r="Y19" s="835"/>
    </row>
    <row r="20" spans="1:25" ht="14.4" customHeight="1" x14ac:dyDescent="0.3">
      <c r="A20" s="801" t="s">
        <v>3974</v>
      </c>
      <c r="B20" s="774">
        <v>1</v>
      </c>
      <c r="C20" s="775">
        <v>1.3</v>
      </c>
      <c r="D20" s="776">
        <v>4</v>
      </c>
      <c r="E20" s="786"/>
      <c r="F20" s="769"/>
      <c r="G20" s="770"/>
      <c r="H20" s="768"/>
      <c r="I20" s="769"/>
      <c r="J20" s="770"/>
      <c r="K20" s="771">
        <v>1.3</v>
      </c>
      <c r="L20" s="768">
        <v>4</v>
      </c>
      <c r="M20" s="768">
        <v>33</v>
      </c>
      <c r="N20" s="772">
        <v>11</v>
      </c>
      <c r="O20" s="768" t="s">
        <v>3947</v>
      </c>
      <c r="P20" s="785" t="s">
        <v>3975</v>
      </c>
      <c r="Q20" s="773">
        <f t="shared" si="0"/>
        <v>-1</v>
      </c>
      <c r="R20" s="832">
        <f t="shared" si="0"/>
        <v>-1.3</v>
      </c>
      <c r="S20" s="773">
        <f t="shared" si="1"/>
        <v>0</v>
      </c>
      <c r="T20" s="832">
        <f t="shared" si="2"/>
        <v>0</v>
      </c>
      <c r="U20" s="839" t="s">
        <v>507</v>
      </c>
      <c r="V20" s="782" t="s">
        <v>507</v>
      </c>
      <c r="W20" s="782" t="s">
        <v>507</v>
      </c>
      <c r="X20" s="837" t="s">
        <v>507</v>
      </c>
      <c r="Y20" s="835"/>
    </row>
    <row r="21" spans="1:25" ht="14.4" customHeight="1" x14ac:dyDescent="0.3">
      <c r="A21" s="801" t="s">
        <v>3976</v>
      </c>
      <c r="B21" s="782"/>
      <c r="C21" s="783"/>
      <c r="D21" s="784"/>
      <c r="E21" s="765">
        <v>1</v>
      </c>
      <c r="F21" s="766">
        <v>0.56000000000000005</v>
      </c>
      <c r="G21" s="767">
        <v>2</v>
      </c>
      <c r="H21" s="768"/>
      <c r="I21" s="769"/>
      <c r="J21" s="770"/>
      <c r="K21" s="771">
        <v>0.56000000000000005</v>
      </c>
      <c r="L21" s="768">
        <v>2</v>
      </c>
      <c r="M21" s="768">
        <v>21</v>
      </c>
      <c r="N21" s="772">
        <v>7</v>
      </c>
      <c r="O21" s="768" t="s">
        <v>3947</v>
      </c>
      <c r="P21" s="785" t="s">
        <v>3977</v>
      </c>
      <c r="Q21" s="773">
        <f t="shared" si="0"/>
        <v>0</v>
      </c>
      <c r="R21" s="832">
        <f t="shared" si="0"/>
        <v>0</v>
      </c>
      <c r="S21" s="773">
        <f t="shared" si="1"/>
        <v>-1</v>
      </c>
      <c r="T21" s="832">
        <f t="shared" si="2"/>
        <v>-0.56000000000000005</v>
      </c>
      <c r="U21" s="839" t="s">
        <v>507</v>
      </c>
      <c r="V21" s="782" t="s">
        <v>507</v>
      </c>
      <c r="W21" s="782" t="s">
        <v>507</v>
      </c>
      <c r="X21" s="837" t="s">
        <v>507</v>
      </c>
      <c r="Y21" s="835"/>
    </row>
    <row r="22" spans="1:25" ht="14.4" customHeight="1" x14ac:dyDescent="0.3">
      <c r="A22" s="801" t="s">
        <v>3978</v>
      </c>
      <c r="B22" s="774">
        <v>2</v>
      </c>
      <c r="C22" s="775">
        <v>2.75</v>
      </c>
      <c r="D22" s="776">
        <v>1.5</v>
      </c>
      <c r="E22" s="786"/>
      <c r="F22" s="769"/>
      <c r="G22" s="770"/>
      <c r="H22" s="768"/>
      <c r="I22" s="769"/>
      <c r="J22" s="770"/>
      <c r="K22" s="771">
        <v>0.42</v>
      </c>
      <c r="L22" s="768">
        <v>1</v>
      </c>
      <c r="M22" s="768">
        <v>5</v>
      </c>
      <c r="N22" s="772">
        <v>2</v>
      </c>
      <c r="O22" s="768" t="s">
        <v>3947</v>
      </c>
      <c r="P22" s="785" t="s">
        <v>3979</v>
      </c>
      <c r="Q22" s="773">
        <f t="shared" si="0"/>
        <v>-2</v>
      </c>
      <c r="R22" s="832">
        <f t="shared" si="0"/>
        <v>-2.75</v>
      </c>
      <c r="S22" s="773">
        <f t="shared" si="1"/>
        <v>0</v>
      </c>
      <c r="T22" s="832">
        <f t="shared" si="2"/>
        <v>0</v>
      </c>
      <c r="U22" s="839" t="s">
        <v>507</v>
      </c>
      <c r="V22" s="782" t="s">
        <v>507</v>
      </c>
      <c r="W22" s="782" t="s">
        <v>507</v>
      </c>
      <c r="X22" s="837" t="s">
        <v>507</v>
      </c>
      <c r="Y22" s="835"/>
    </row>
    <row r="23" spans="1:25" ht="14.4" customHeight="1" x14ac:dyDescent="0.3">
      <c r="A23" s="801" t="s">
        <v>3980</v>
      </c>
      <c r="B23" s="782">
        <v>2</v>
      </c>
      <c r="C23" s="783">
        <v>7.68</v>
      </c>
      <c r="D23" s="784">
        <v>2.5</v>
      </c>
      <c r="E23" s="765">
        <v>3</v>
      </c>
      <c r="F23" s="766">
        <v>17.82</v>
      </c>
      <c r="G23" s="767">
        <v>3.7</v>
      </c>
      <c r="H23" s="768"/>
      <c r="I23" s="769"/>
      <c r="J23" s="770"/>
      <c r="K23" s="771">
        <v>5.41</v>
      </c>
      <c r="L23" s="768">
        <v>4</v>
      </c>
      <c r="M23" s="768">
        <v>33</v>
      </c>
      <c r="N23" s="772">
        <v>11</v>
      </c>
      <c r="O23" s="768" t="s">
        <v>3947</v>
      </c>
      <c r="P23" s="785" t="s">
        <v>3981</v>
      </c>
      <c r="Q23" s="773">
        <f t="shared" si="0"/>
        <v>-2</v>
      </c>
      <c r="R23" s="832">
        <f t="shared" si="0"/>
        <v>-7.68</v>
      </c>
      <c r="S23" s="773">
        <f t="shared" si="1"/>
        <v>-3</v>
      </c>
      <c r="T23" s="832">
        <f t="shared" si="2"/>
        <v>-17.82</v>
      </c>
      <c r="U23" s="839" t="s">
        <v>507</v>
      </c>
      <c r="V23" s="782" t="s">
        <v>507</v>
      </c>
      <c r="W23" s="782" t="s">
        <v>507</v>
      </c>
      <c r="X23" s="837" t="s">
        <v>507</v>
      </c>
      <c r="Y23" s="835"/>
    </row>
    <row r="24" spans="1:25" ht="14.4" customHeight="1" x14ac:dyDescent="0.3">
      <c r="A24" s="802" t="s">
        <v>3982</v>
      </c>
      <c r="B24" s="797"/>
      <c r="C24" s="798"/>
      <c r="D24" s="787"/>
      <c r="E24" s="799">
        <v>1</v>
      </c>
      <c r="F24" s="800">
        <v>7.26</v>
      </c>
      <c r="G24" s="780">
        <v>4</v>
      </c>
      <c r="H24" s="792">
        <v>2</v>
      </c>
      <c r="I24" s="791">
        <v>11.83</v>
      </c>
      <c r="J24" s="778">
        <v>4.5</v>
      </c>
      <c r="K24" s="793">
        <v>7.26</v>
      </c>
      <c r="L24" s="792">
        <v>4</v>
      </c>
      <c r="M24" s="792">
        <v>39</v>
      </c>
      <c r="N24" s="794">
        <v>13</v>
      </c>
      <c r="O24" s="792" t="s">
        <v>3947</v>
      </c>
      <c r="P24" s="795" t="s">
        <v>3983</v>
      </c>
      <c r="Q24" s="796">
        <f t="shared" si="0"/>
        <v>2</v>
      </c>
      <c r="R24" s="833">
        <f t="shared" si="0"/>
        <v>11.83</v>
      </c>
      <c r="S24" s="796">
        <f t="shared" si="1"/>
        <v>1</v>
      </c>
      <c r="T24" s="833">
        <f t="shared" si="2"/>
        <v>4.57</v>
      </c>
      <c r="U24" s="840">
        <v>26</v>
      </c>
      <c r="V24" s="797">
        <v>9</v>
      </c>
      <c r="W24" s="797">
        <v>-17</v>
      </c>
      <c r="X24" s="838">
        <v>0.34615384615384615</v>
      </c>
      <c r="Y24" s="836"/>
    </row>
    <row r="25" spans="1:25" ht="14.4" customHeight="1" x14ac:dyDescent="0.3">
      <c r="A25" s="802" t="s">
        <v>3984</v>
      </c>
      <c r="B25" s="797">
        <v>3</v>
      </c>
      <c r="C25" s="798">
        <v>23.36</v>
      </c>
      <c r="D25" s="787">
        <v>4</v>
      </c>
      <c r="E25" s="799">
        <v>5</v>
      </c>
      <c r="F25" s="800">
        <v>43.86</v>
      </c>
      <c r="G25" s="780">
        <v>14.6</v>
      </c>
      <c r="H25" s="792">
        <v>2</v>
      </c>
      <c r="I25" s="791">
        <v>15.69</v>
      </c>
      <c r="J25" s="778">
        <v>7.5</v>
      </c>
      <c r="K25" s="793">
        <v>9.31</v>
      </c>
      <c r="L25" s="792">
        <v>5</v>
      </c>
      <c r="M25" s="792">
        <v>48</v>
      </c>
      <c r="N25" s="794">
        <v>16</v>
      </c>
      <c r="O25" s="792" t="s">
        <v>3947</v>
      </c>
      <c r="P25" s="795" t="s">
        <v>3985</v>
      </c>
      <c r="Q25" s="796">
        <f t="shared" si="0"/>
        <v>-1</v>
      </c>
      <c r="R25" s="833">
        <f t="shared" si="0"/>
        <v>-7.67</v>
      </c>
      <c r="S25" s="796">
        <f t="shared" si="1"/>
        <v>-3</v>
      </c>
      <c r="T25" s="833">
        <f t="shared" si="2"/>
        <v>-28.17</v>
      </c>
      <c r="U25" s="840">
        <v>32</v>
      </c>
      <c r="V25" s="797">
        <v>15</v>
      </c>
      <c r="W25" s="797">
        <v>-17</v>
      </c>
      <c r="X25" s="838">
        <v>0.46875</v>
      </c>
      <c r="Y25" s="836"/>
    </row>
    <row r="26" spans="1:25" ht="14.4" customHeight="1" x14ac:dyDescent="0.3">
      <c r="A26" s="801" t="s">
        <v>3986</v>
      </c>
      <c r="B26" s="774">
        <v>3</v>
      </c>
      <c r="C26" s="775">
        <v>4.47</v>
      </c>
      <c r="D26" s="776">
        <v>2</v>
      </c>
      <c r="E26" s="786">
        <v>2</v>
      </c>
      <c r="F26" s="769">
        <v>4.24</v>
      </c>
      <c r="G26" s="770">
        <v>3</v>
      </c>
      <c r="H26" s="768">
        <v>2</v>
      </c>
      <c r="I26" s="769">
        <v>3.61</v>
      </c>
      <c r="J26" s="770">
        <v>2.5</v>
      </c>
      <c r="K26" s="771">
        <v>2.12</v>
      </c>
      <c r="L26" s="768">
        <v>3</v>
      </c>
      <c r="M26" s="768">
        <v>24</v>
      </c>
      <c r="N26" s="772">
        <v>8</v>
      </c>
      <c r="O26" s="768" t="s">
        <v>3947</v>
      </c>
      <c r="P26" s="785" t="s">
        <v>3987</v>
      </c>
      <c r="Q26" s="773">
        <f t="shared" si="0"/>
        <v>-1</v>
      </c>
      <c r="R26" s="832">
        <f t="shared" si="0"/>
        <v>-0.85999999999999988</v>
      </c>
      <c r="S26" s="773">
        <f t="shared" si="1"/>
        <v>0</v>
      </c>
      <c r="T26" s="832">
        <f t="shared" si="2"/>
        <v>-0.63000000000000034</v>
      </c>
      <c r="U26" s="839">
        <v>16</v>
      </c>
      <c r="V26" s="782">
        <v>5</v>
      </c>
      <c r="W26" s="782">
        <v>-11</v>
      </c>
      <c r="X26" s="837">
        <v>0.3125</v>
      </c>
      <c r="Y26" s="835"/>
    </row>
    <row r="27" spans="1:25" ht="14.4" customHeight="1" x14ac:dyDescent="0.3">
      <c r="A27" s="802" t="s">
        <v>3988</v>
      </c>
      <c r="B27" s="788">
        <v>1</v>
      </c>
      <c r="C27" s="789">
        <v>2.2200000000000002</v>
      </c>
      <c r="D27" s="777">
        <v>3</v>
      </c>
      <c r="E27" s="790">
        <v>1</v>
      </c>
      <c r="F27" s="791">
        <v>5.49</v>
      </c>
      <c r="G27" s="778">
        <v>11</v>
      </c>
      <c r="H27" s="792">
        <v>1</v>
      </c>
      <c r="I27" s="791">
        <v>4.04</v>
      </c>
      <c r="J27" s="778">
        <v>6</v>
      </c>
      <c r="K27" s="793">
        <v>2.86</v>
      </c>
      <c r="L27" s="792">
        <v>4</v>
      </c>
      <c r="M27" s="792">
        <v>36</v>
      </c>
      <c r="N27" s="794">
        <v>12</v>
      </c>
      <c r="O27" s="792" t="s">
        <v>3947</v>
      </c>
      <c r="P27" s="795" t="s">
        <v>3989</v>
      </c>
      <c r="Q27" s="796">
        <f t="shared" si="0"/>
        <v>0</v>
      </c>
      <c r="R27" s="833">
        <f t="shared" si="0"/>
        <v>1.8199999999999998</v>
      </c>
      <c r="S27" s="796">
        <f t="shared" si="1"/>
        <v>0</v>
      </c>
      <c r="T27" s="833">
        <f t="shared" si="2"/>
        <v>-1.4500000000000002</v>
      </c>
      <c r="U27" s="840">
        <v>12</v>
      </c>
      <c r="V27" s="797">
        <v>6</v>
      </c>
      <c r="W27" s="797">
        <v>-6</v>
      </c>
      <c r="X27" s="838">
        <v>0.5</v>
      </c>
      <c r="Y27" s="836"/>
    </row>
    <row r="28" spans="1:25" ht="14.4" customHeight="1" x14ac:dyDescent="0.3">
      <c r="A28" s="802" t="s">
        <v>3990</v>
      </c>
      <c r="B28" s="788">
        <v>2</v>
      </c>
      <c r="C28" s="789">
        <v>6.78</v>
      </c>
      <c r="D28" s="777">
        <v>4.5</v>
      </c>
      <c r="E28" s="790"/>
      <c r="F28" s="791"/>
      <c r="G28" s="778"/>
      <c r="H28" s="792"/>
      <c r="I28" s="791"/>
      <c r="J28" s="778"/>
      <c r="K28" s="793">
        <v>3.81</v>
      </c>
      <c r="L28" s="792">
        <v>4</v>
      </c>
      <c r="M28" s="792">
        <v>39</v>
      </c>
      <c r="N28" s="794">
        <v>13</v>
      </c>
      <c r="O28" s="792" t="s">
        <v>3947</v>
      </c>
      <c r="P28" s="795" t="s">
        <v>3991</v>
      </c>
      <c r="Q28" s="796">
        <f t="shared" si="0"/>
        <v>-2</v>
      </c>
      <c r="R28" s="833">
        <f t="shared" si="0"/>
        <v>-6.78</v>
      </c>
      <c r="S28" s="796">
        <f t="shared" si="1"/>
        <v>0</v>
      </c>
      <c r="T28" s="833">
        <f t="shared" si="2"/>
        <v>0</v>
      </c>
      <c r="U28" s="840" t="s">
        <v>507</v>
      </c>
      <c r="V28" s="797" t="s">
        <v>507</v>
      </c>
      <c r="W28" s="797" t="s">
        <v>507</v>
      </c>
      <c r="X28" s="838" t="s">
        <v>507</v>
      </c>
      <c r="Y28" s="836"/>
    </row>
    <row r="29" spans="1:25" ht="14.4" customHeight="1" x14ac:dyDescent="0.3">
      <c r="A29" s="801" t="s">
        <v>3992</v>
      </c>
      <c r="B29" s="782"/>
      <c r="C29" s="783"/>
      <c r="D29" s="784"/>
      <c r="E29" s="765">
        <v>1</v>
      </c>
      <c r="F29" s="766">
        <v>4.72</v>
      </c>
      <c r="G29" s="767">
        <v>4</v>
      </c>
      <c r="H29" s="768"/>
      <c r="I29" s="769"/>
      <c r="J29" s="770"/>
      <c r="K29" s="771">
        <v>4.72</v>
      </c>
      <c r="L29" s="768">
        <v>2</v>
      </c>
      <c r="M29" s="768">
        <v>21</v>
      </c>
      <c r="N29" s="772">
        <v>7</v>
      </c>
      <c r="O29" s="768" t="s">
        <v>2708</v>
      </c>
      <c r="P29" s="785" t="s">
        <v>3993</v>
      </c>
      <c r="Q29" s="773">
        <f t="shared" si="0"/>
        <v>0</v>
      </c>
      <c r="R29" s="832">
        <f t="shared" si="0"/>
        <v>0</v>
      </c>
      <c r="S29" s="773">
        <f t="shared" si="1"/>
        <v>-1</v>
      </c>
      <c r="T29" s="832">
        <f t="shared" si="2"/>
        <v>-4.72</v>
      </c>
      <c r="U29" s="839" t="s">
        <v>507</v>
      </c>
      <c r="V29" s="782" t="s">
        <v>507</v>
      </c>
      <c r="W29" s="782" t="s">
        <v>507</v>
      </c>
      <c r="X29" s="837" t="s">
        <v>507</v>
      </c>
      <c r="Y29" s="835"/>
    </row>
    <row r="30" spans="1:25" ht="14.4" customHeight="1" x14ac:dyDescent="0.3">
      <c r="A30" s="801" t="s">
        <v>3994</v>
      </c>
      <c r="B30" s="774">
        <v>1</v>
      </c>
      <c r="C30" s="775">
        <v>1.23</v>
      </c>
      <c r="D30" s="776">
        <v>6</v>
      </c>
      <c r="E30" s="786"/>
      <c r="F30" s="769"/>
      <c r="G30" s="770"/>
      <c r="H30" s="768"/>
      <c r="I30" s="769"/>
      <c r="J30" s="770"/>
      <c r="K30" s="771">
        <v>1.23</v>
      </c>
      <c r="L30" s="768">
        <v>2</v>
      </c>
      <c r="M30" s="768">
        <v>21</v>
      </c>
      <c r="N30" s="772">
        <v>7</v>
      </c>
      <c r="O30" s="768" t="s">
        <v>3947</v>
      </c>
      <c r="P30" s="785" t="s">
        <v>3995</v>
      </c>
      <c r="Q30" s="773">
        <f t="shared" si="0"/>
        <v>-1</v>
      </c>
      <c r="R30" s="832">
        <f t="shared" si="0"/>
        <v>-1.23</v>
      </c>
      <c r="S30" s="773">
        <f t="shared" si="1"/>
        <v>0</v>
      </c>
      <c r="T30" s="832">
        <f t="shared" si="2"/>
        <v>0</v>
      </c>
      <c r="U30" s="839" t="s">
        <v>507</v>
      </c>
      <c r="V30" s="782" t="s">
        <v>507</v>
      </c>
      <c r="W30" s="782" t="s">
        <v>507</v>
      </c>
      <c r="X30" s="837" t="s">
        <v>507</v>
      </c>
      <c r="Y30" s="835"/>
    </row>
    <row r="31" spans="1:25" ht="14.4" customHeight="1" x14ac:dyDescent="0.3">
      <c r="A31" s="801" t="s">
        <v>3996</v>
      </c>
      <c r="B31" s="774">
        <v>1</v>
      </c>
      <c r="C31" s="775">
        <v>0.2</v>
      </c>
      <c r="D31" s="776">
        <v>1</v>
      </c>
      <c r="E31" s="786"/>
      <c r="F31" s="769"/>
      <c r="G31" s="770"/>
      <c r="H31" s="768"/>
      <c r="I31" s="769"/>
      <c r="J31" s="770"/>
      <c r="K31" s="771">
        <v>0.54</v>
      </c>
      <c r="L31" s="768">
        <v>3</v>
      </c>
      <c r="M31" s="768">
        <v>24</v>
      </c>
      <c r="N31" s="772">
        <v>8</v>
      </c>
      <c r="O31" s="768" t="s">
        <v>3947</v>
      </c>
      <c r="P31" s="785" t="s">
        <v>3997</v>
      </c>
      <c r="Q31" s="773">
        <f t="shared" si="0"/>
        <v>-1</v>
      </c>
      <c r="R31" s="832">
        <f t="shared" si="0"/>
        <v>-0.2</v>
      </c>
      <c r="S31" s="773">
        <f t="shared" si="1"/>
        <v>0</v>
      </c>
      <c r="T31" s="832">
        <f t="shared" si="2"/>
        <v>0</v>
      </c>
      <c r="U31" s="839" t="s">
        <v>507</v>
      </c>
      <c r="V31" s="782" t="s">
        <v>507</v>
      </c>
      <c r="W31" s="782" t="s">
        <v>507</v>
      </c>
      <c r="X31" s="837" t="s">
        <v>507</v>
      </c>
      <c r="Y31" s="835"/>
    </row>
    <row r="32" spans="1:25" ht="14.4" customHeight="1" x14ac:dyDescent="0.3">
      <c r="A32" s="802" t="s">
        <v>3998</v>
      </c>
      <c r="B32" s="788">
        <v>1</v>
      </c>
      <c r="C32" s="789">
        <v>1.64</v>
      </c>
      <c r="D32" s="777">
        <v>4</v>
      </c>
      <c r="E32" s="790"/>
      <c r="F32" s="791"/>
      <c r="G32" s="778"/>
      <c r="H32" s="792"/>
      <c r="I32" s="791"/>
      <c r="J32" s="778"/>
      <c r="K32" s="793">
        <v>0.62</v>
      </c>
      <c r="L32" s="792">
        <v>2</v>
      </c>
      <c r="M32" s="792">
        <v>21</v>
      </c>
      <c r="N32" s="794">
        <v>7</v>
      </c>
      <c r="O32" s="792" t="s">
        <v>3947</v>
      </c>
      <c r="P32" s="795" t="s">
        <v>3999</v>
      </c>
      <c r="Q32" s="796">
        <f t="shared" si="0"/>
        <v>-1</v>
      </c>
      <c r="R32" s="833">
        <f t="shared" si="0"/>
        <v>-1.64</v>
      </c>
      <c r="S32" s="796">
        <f t="shared" si="1"/>
        <v>0</v>
      </c>
      <c r="T32" s="833">
        <f t="shared" si="2"/>
        <v>0</v>
      </c>
      <c r="U32" s="840" t="s">
        <v>507</v>
      </c>
      <c r="V32" s="797" t="s">
        <v>507</v>
      </c>
      <c r="W32" s="797" t="s">
        <v>507</v>
      </c>
      <c r="X32" s="838" t="s">
        <v>507</v>
      </c>
      <c r="Y32" s="836"/>
    </row>
    <row r="33" spans="1:25" ht="14.4" customHeight="1" x14ac:dyDescent="0.3">
      <c r="A33" s="801" t="s">
        <v>4000</v>
      </c>
      <c r="B33" s="774">
        <v>1</v>
      </c>
      <c r="C33" s="775">
        <v>0.86</v>
      </c>
      <c r="D33" s="776">
        <v>7</v>
      </c>
      <c r="E33" s="786"/>
      <c r="F33" s="769"/>
      <c r="G33" s="770"/>
      <c r="H33" s="768"/>
      <c r="I33" s="769"/>
      <c r="J33" s="770"/>
      <c r="K33" s="771">
        <v>0.78</v>
      </c>
      <c r="L33" s="768">
        <v>3</v>
      </c>
      <c r="M33" s="768">
        <v>24</v>
      </c>
      <c r="N33" s="772">
        <v>8</v>
      </c>
      <c r="O33" s="768" t="s">
        <v>3947</v>
      </c>
      <c r="P33" s="785" t="s">
        <v>4001</v>
      </c>
      <c r="Q33" s="773">
        <f t="shared" si="0"/>
        <v>-1</v>
      </c>
      <c r="R33" s="832">
        <f t="shared" si="0"/>
        <v>-0.86</v>
      </c>
      <c r="S33" s="773">
        <f t="shared" si="1"/>
        <v>0</v>
      </c>
      <c r="T33" s="832">
        <f t="shared" si="2"/>
        <v>0</v>
      </c>
      <c r="U33" s="839" t="s">
        <v>507</v>
      </c>
      <c r="V33" s="782" t="s">
        <v>507</v>
      </c>
      <c r="W33" s="782" t="s">
        <v>507</v>
      </c>
      <c r="X33" s="837" t="s">
        <v>507</v>
      </c>
      <c r="Y33" s="835"/>
    </row>
    <row r="34" spans="1:25" ht="14.4" customHeight="1" x14ac:dyDescent="0.3">
      <c r="A34" s="801" t="s">
        <v>4002</v>
      </c>
      <c r="B34" s="782">
        <v>1</v>
      </c>
      <c r="C34" s="783">
        <v>4.2699999999999996</v>
      </c>
      <c r="D34" s="784">
        <v>2</v>
      </c>
      <c r="E34" s="765">
        <v>1</v>
      </c>
      <c r="F34" s="766">
        <v>4.2699999999999996</v>
      </c>
      <c r="G34" s="767">
        <v>4</v>
      </c>
      <c r="H34" s="768"/>
      <c r="I34" s="769"/>
      <c r="J34" s="770"/>
      <c r="K34" s="771">
        <v>4.2699999999999996</v>
      </c>
      <c r="L34" s="768">
        <v>2</v>
      </c>
      <c r="M34" s="768">
        <v>21</v>
      </c>
      <c r="N34" s="772">
        <v>7</v>
      </c>
      <c r="O34" s="768" t="s">
        <v>3947</v>
      </c>
      <c r="P34" s="785" t="s">
        <v>4003</v>
      </c>
      <c r="Q34" s="773">
        <f t="shared" si="0"/>
        <v>-1</v>
      </c>
      <c r="R34" s="832">
        <f t="shared" si="0"/>
        <v>-4.2699999999999996</v>
      </c>
      <c r="S34" s="773">
        <f t="shared" si="1"/>
        <v>-1</v>
      </c>
      <c r="T34" s="832">
        <f t="shared" si="2"/>
        <v>-4.2699999999999996</v>
      </c>
      <c r="U34" s="839" t="s">
        <v>507</v>
      </c>
      <c r="V34" s="782" t="s">
        <v>507</v>
      </c>
      <c r="W34" s="782" t="s">
        <v>507</v>
      </c>
      <c r="X34" s="837" t="s">
        <v>507</v>
      </c>
      <c r="Y34" s="835"/>
    </row>
    <row r="35" spans="1:25" ht="14.4" customHeight="1" x14ac:dyDescent="0.3">
      <c r="A35" s="802" t="s">
        <v>4004</v>
      </c>
      <c r="B35" s="797"/>
      <c r="C35" s="798"/>
      <c r="D35" s="787"/>
      <c r="E35" s="799">
        <v>1</v>
      </c>
      <c r="F35" s="800">
        <v>4.6100000000000003</v>
      </c>
      <c r="G35" s="780">
        <v>3</v>
      </c>
      <c r="H35" s="792"/>
      <c r="I35" s="791"/>
      <c r="J35" s="778"/>
      <c r="K35" s="793">
        <v>4.6100000000000003</v>
      </c>
      <c r="L35" s="792">
        <v>3</v>
      </c>
      <c r="M35" s="792">
        <v>27</v>
      </c>
      <c r="N35" s="794">
        <v>9</v>
      </c>
      <c r="O35" s="792" t="s">
        <v>3947</v>
      </c>
      <c r="P35" s="795" t="s">
        <v>4003</v>
      </c>
      <c r="Q35" s="796">
        <f t="shared" si="0"/>
        <v>0</v>
      </c>
      <c r="R35" s="833">
        <f t="shared" si="0"/>
        <v>0</v>
      </c>
      <c r="S35" s="796">
        <f t="shared" si="1"/>
        <v>-1</v>
      </c>
      <c r="T35" s="833">
        <f t="shared" si="2"/>
        <v>-4.6100000000000003</v>
      </c>
      <c r="U35" s="840" t="s">
        <v>507</v>
      </c>
      <c r="V35" s="797" t="s">
        <v>507</v>
      </c>
      <c r="W35" s="797" t="s">
        <v>507</v>
      </c>
      <c r="X35" s="838" t="s">
        <v>507</v>
      </c>
      <c r="Y35" s="836"/>
    </row>
    <row r="36" spans="1:25" ht="14.4" customHeight="1" x14ac:dyDescent="0.3">
      <c r="A36" s="801" t="s">
        <v>4005</v>
      </c>
      <c r="B36" s="782"/>
      <c r="C36" s="783"/>
      <c r="D36" s="784"/>
      <c r="E36" s="786"/>
      <c r="F36" s="769"/>
      <c r="G36" s="770"/>
      <c r="H36" s="765">
        <v>1</v>
      </c>
      <c r="I36" s="766">
        <v>2.65</v>
      </c>
      <c r="J36" s="767">
        <v>5</v>
      </c>
      <c r="K36" s="771">
        <v>2.65</v>
      </c>
      <c r="L36" s="768">
        <v>3</v>
      </c>
      <c r="M36" s="768">
        <v>27</v>
      </c>
      <c r="N36" s="772">
        <v>9</v>
      </c>
      <c r="O36" s="768" t="s">
        <v>3947</v>
      </c>
      <c r="P36" s="785" t="s">
        <v>4006</v>
      </c>
      <c r="Q36" s="773">
        <f t="shared" si="0"/>
        <v>1</v>
      </c>
      <c r="R36" s="832">
        <f t="shared" si="0"/>
        <v>2.65</v>
      </c>
      <c r="S36" s="773">
        <f t="shared" si="1"/>
        <v>1</v>
      </c>
      <c r="T36" s="832">
        <f t="shared" si="2"/>
        <v>2.65</v>
      </c>
      <c r="U36" s="839">
        <v>9</v>
      </c>
      <c r="V36" s="782">
        <v>5</v>
      </c>
      <c r="W36" s="782">
        <v>-4</v>
      </c>
      <c r="X36" s="837">
        <v>0.55555555555555558</v>
      </c>
      <c r="Y36" s="835"/>
    </row>
    <row r="37" spans="1:25" ht="14.4" customHeight="1" x14ac:dyDescent="0.3">
      <c r="A37" s="801" t="s">
        <v>4007</v>
      </c>
      <c r="B37" s="782">
        <v>1</v>
      </c>
      <c r="C37" s="783">
        <v>4.09</v>
      </c>
      <c r="D37" s="784">
        <v>9</v>
      </c>
      <c r="E37" s="765">
        <v>1</v>
      </c>
      <c r="F37" s="766">
        <v>4.09</v>
      </c>
      <c r="G37" s="767">
        <v>10</v>
      </c>
      <c r="H37" s="768">
        <v>1</v>
      </c>
      <c r="I37" s="769">
        <v>4.09</v>
      </c>
      <c r="J37" s="770">
        <v>15</v>
      </c>
      <c r="K37" s="771">
        <v>4.09</v>
      </c>
      <c r="L37" s="768">
        <v>5</v>
      </c>
      <c r="M37" s="768">
        <v>45</v>
      </c>
      <c r="N37" s="772">
        <v>15</v>
      </c>
      <c r="O37" s="768" t="s">
        <v>3947</v>
      </c>
      <c r="P37" s="785" t="s">
        <v>4008</v>
      </c>
      <c r="Q37" s="773">
        <f t="shared" si="0"/>
        <v>0</v>
      </c>
      <c r="R37" s="832">
        <f t="shared" si="0"/>
        <v>0</v>
      </c>
      <c r="S37" s="773">
        <f t="shared" si="1"/>
        <v>0</v>
      </c>
      <c r="T37" s="832">
        <f t="shared" si="2"/>
        <v>0</v>
      </c>
      <c r="U37" s="839">
        <v>15</v>
      </c>
      <c r="V37" s="782">
        <v>15</v>
      </c>
      <c r="W37" s="782">
        <v>0</v>
      </c>
      <c r="X37" s="837">
        <v>1</v>
      </c>
      <c r="Y37" s="835"/>
    </row>
    <row r="38" spans="1:25" ht="14.4" customHeight="1" x14ac:dyDescent="0.3">
      <c r="A38" s="802" t="s">
        <v>4009</v>
      </c>
      <c r="B38" s="797">
        <v>4</v>
      </c>
      <c r="C38" s="798">
        <v>25.09</v>
      </c>
      <c r="D38" s="787">
        <v>11.8</v>
      </c>
      <c r="E38" s="799">
        <v>7</v>
      </c>
      <c r="F38" s="800">
        <v>26.25</v>
      </c>
      <c r="G38" s="780">
        <v>3.7</v>
      </c>
      <c r="H38" s="792">
        <v>2</v>
      </c>
      <c r="I38" s="791">
        <v>6.03</v>
      </c>
      <c r="J38" s="778">
        <v>3</v>
      </c>
      <c r="K38" s="793">
        <v>6.37</v>
      </c>
      <c r="L38" s="792">
        <v>7</v>
      </c>
      <c r="M38" s="792">
        <v>60</v>
      </c>
      <c r="N38" s="794">
        <v>20</v>
      </c>
      <c r="O38" s="792" t="s">
        <v>3947</v>
      </c>
      <c r="P38" s="795" t="s">
        <v>4010</v>
      </c>
      <c r="Q38" s="796">
        <f t="shared" si="0"/>
        <v>-2</v>
      </c>
      <c r="R38" s="833">
        <f t="shared" si="0"/>
        <v>-19.059999999999999</v>
      </c>
      <c r="S38" s="796">
        <f t="shared" si="1"/>
        <v>-5</v>
      </c>
      <c r="T38" s="833">
        <f t="shared" si="2"/>
        <v>-20.22</v>
      </c>
      <c r="U38" s="840">
        <v>40</v>
      </c>
      <c r="V38" s="797">
        <v>6</v>
      </c>
      <c r="W38" s="797">
        <v>-34</v>
      </c>
      <c r="X38" s="838">
        <v>0.15</v>
      </c>
      <c r="Y38" s="836"/>
    </row>
    <row r="39" spans="1:25" ht="14.4" customHeight="1" x14ac:dyDescent="0.3">
      <c r="A39" s="801" t="s">
        <v>4011</v>
      </c>
      <c r="B39" s="782">
        <v>1</v>
      </c>
      <c r="C39" s="783">
        <v>2.39</v>
      </c>
      <c r="D39" s="784">
        <v>2</v>
      </c>
      <c r="E39" s="765">
        <v>1</v>
      </c>
      <c r="F39" s="766">
        <v>4.33</v>
      </c>
      <c r="G39" s="767">
        <v>4</v>
      </c>
      <c r="H39" s="768"/>
      <c r="I39" s="769"/>
      <c r="J39" s="770"/>
      <c r="K39" s="771">
        <v>5.3</v>
      </c>
      <c r="L39" s="768">
        <v>5</v>
      </c>
      <c r="M39" s="768">
        <v>45</v>
      </c>
      <c r="N39" s="772">
        <v>15</v>
      </c>
      <c r="O39" s="768" t="s">
        <v>3947</v>
      </c>
      <c r="P39" s="785" t="s">
        <v>4012</v>
      </c>
      <c r="Q39" s="773">
        <f t="shared" si="0"/>
        <v>-1</v>
      </c>
      <c r="R39" s="832">
        <f t="shared" si="0"/>
        <v>-2.39</v>
      </c>
      <c r="S39" s="773">
        <f t="shared" si="1"/>
        <v>-1</v>
      </c>
      <c r="T39" s="832">
        <f t="shared" si="2"/>
        <v>-4.33</v>
      </c>
      <c r="U39" s="839" t="s">
        <v>507</v>
      </c>
      <c r="V39" s="782" t="s">
        <v>507</v>
      </c>
      <c r="W39" s="782" t="s">
        <v>507</v>
      </c>
      <c r="X39" s="837" t="s">
        <v>507</v>
      </c>
      <c r="Y39" s="835"/>
    </row>
    <row r="40" spans="1:25" ht="14.4" customHeight="1" x14ac:dyDescent="0.3">
      <c r="A40" s="801" t="s">
        <v>4013</v>
      </c>
      <c r="B40" s="782">
        <v>1</v>
      </c>
      <c r="C40" s="783">
        <v>2.5499999999999998</v>
      </c>
      <c r="D40" s="784">
        <v>4</v>
      </c>
      <c r="E40" s="786"/>
      <c r="F40" s="769"/>
      <c r="G40" s="770"/>
      <c r="H40" s="765">
        <v>1</v>
      </c>
      <c r="I40" s="766">
        <v>2.5499999999999998</v>
      </c>
      <c r="J40" s="767">
        <v>5</v>
      </c>
      <c r="K40" s="771">
        <v>2.5499999999999998</v>
      </c>
      <c r="L40" s="768">
        <v>4</v>
      </c>
      <c r="M40" s="768">
        <v>36</v>
      </c>
      <c r="N40" s="772">
        <v>12</v>
      </c>
      <c r="O40" s="768" t="s">
        <v>3947</v>
      </c>
      <c r="P40" s="785" t="s">
        <v>4014</v>
      </c>
      <c r="Q40" s="773">
        <f t="shared" si="0"/>
        <v>0</v>
      </c>
      <c r="R40" s="832">
        <f t="shared" si="0"/>
        <v>0</v>
      </c>
      <c r="S40" s="773">
        <f t="shared" si="1"/>
        <v>1</v>
      </c>
      <c r="T40" s="832">
        <f t="shared" si="2"/>
        <v>2.5499999999999998</v>
      </c>
      <c r="U40" s="839">
        <v>12</v>
      </c>
      <c r="V40" s="782">
        <v>5</v>
      </c>
      <c r="W40" s="782">
        <v>-7</v>
      </c>
      <c r="X40" s="837">
        <v>0.41666666666666669</v>
      </c>
      <c r="Y40" s="835"/>
    </row>
    <row r="41" spans="1:25" ht="14.4" customHeight="1" x14ac:dyDescent="0.3">
      <c r="A41" s="802" t="s">
        <v>4015</v>
      </c>
      <c r="B41" s="797"/>
      <c r="C41" s="798"/>
      <c r="D41" s="787"/>
      <c r="E41" s="790"/>
      <c r="F41" s="791"/>
      <c r="G41" s="778"/>
      <c r="H41" s="799">
        <v>1</v>
      </c>
      <c r="I41" s="800">
        <v>3.43</v>
      </c>
      <c r="J41" s="780">
        <v>3</v>
      </c>
      <c r="K41" s="793">
        <v>4.2</v>
      </c>
      <c r="L41" s="792">
        <v>5</v>
      </c>
      <c r="M41" s="792">
        <v>45</v>
      </c>
      <c r="N41" s="794">
        <v>15</v>
      </c>
      <c r="O41" s="792" t="s">
        <v>3947</v>
      </c>
      <c r="P41" s="795" t="s">
        <v>4016</v>
      </c>
      <c r="Q41" s="796">
        <f t="shared" si="0"/>
        <v>1</v>
      </c>
      <c r="R41" s="833">
        <f t="shared" si="0"/>
        <v>3.43</v>
      </c>
      <c r="S41" s="796">
        <f t="shared" si="1"/>
        <v>1</v>
      </c>
      <c r="T41" s="833">
        <f t="shared" si="2"/>
        <v>3.43</v>
      </c>
      <c r="U41" s="840">
        <v>15</v>
      </c>
      <c r="V41" s="797">
        <v>3</v>
      </c>
      <c r="W41" s="797">
        <v>-12</v>
      </c>
      <c r="X41" s="838">
        <v>0.2</v>
      </c>
      <c r="Y41" s="836"/>
    </row>
    <row r="42" spans="1:25" ht="14.4" customHeight="1" x14ac:dyDescent="0.3">
      <c r="A42" s="801" t="s">
        <v>4017</v>
      </c>
      <c r="B42" s="782">
        <v>2</v>
      </c>
      <c r="C42" s="783">
        <v>4.0199999999999996</v>
      </c>
      <c r="D42" s="784">
        <v>2</v>
      </c>
      <c r="E42" s="786"/>
      <c r="F42" s="769"/>
      <c r="G42" s="770"/>
      <c r="H42" s="765">
        <v>2</v>
      </c>
      <c r="I42" s="766">
        <v>13.07</v>
      </c>
      <c r="J42" s="767">
        <v>4.5</v>
      </c>
      <c r="K42" s="771">
        <v>3.18</v>
      </c>
      <c r="L42" s="768">
        <v>4</v>
      </c>
      <c r="M42" s="768">
        <v>39</v>
      </c>
      <c r="N42" s="772">
        <v>13</v>
      </c>
      <c r="O42" s="768" t="s">
        <v>3947</v>
      </c>
      <c r="P42" s="785" t="s">
        <v>4018</v>
      </c>
      <c r="Q42" s="773">
        <f t="shared" si="0"/>
        <v>0</v>
      </c>
      <c r="R42" s="832">
        <f t="shared" si="0"/>
        <v>9.0500000000000007</v>
      </c>
      <c r="S42" s="773">
        <f t="shared" si="1"/>
        <v>2</v>
      </c>
      <c r="T42" s="832">
        <f t="shared" si="2"/>
        <v>13.07</v>
      </c>
      <c r="U42" s="839">
        <v>26</v>
      </c>
      <c r="V42" s="782">
        <v>9</v>
      </c>
      <c r="W42" s="782">
        <v>-17</v>
      </c>
      <c r="X42" s="837">
        <v>0.34615384615384615</v>
      </c>
      <c r="Y42" s="835"/>
    </row>
    <row r="43" spans="1:25" ht="14.4" customHeight="1" x14ac:dyDescent="0.3">
      <c r="A43" s="801" t="s">
        <v>4019</v>
      </c>
      <c r="B43" s="782"/>
      <c r="C43" s="783"/>
      <c r="D43" s="784"/>
      <c r="E43" s="765">
        <v>1</v>
      </c>
      <c r="F43" s="766">
        <v>0.64</v>
      </c>
      <c r="G43" s="767">
        <v>2</v>
      </c>
      <c r="H43" s="768"/>
      <c r="I43" s="769"/>
      <c r="J43" s="770"/>
      <c r="K43" s="771">
        <v>0.55000000000000004</v>
      </c>
      <c r="L43" s="768">
        <v>2</v>
      </c>
      <c r="M43" s="768">
        <v>18</v>
      </c>
      <c r="N43" s="772">
        <v>6</v>
      </c>
      <c r="O43" s="768" t="s">
        <v>3947</v>
      </c>
      <c r="P43" s="785" t="s">
        <v>4020</v>
      </c>
      <c r="Q43" s="773">
        <f t="shared" si="0"/>
        <v>0</v>
      </c>
      <c r="R43" s="832">
        <f t="shared" si="0"/>
        <v>0</v>
      </c>
      <c r="S43" s="773">
        <f t="shared" si="1"/>
        <v>-1</v>
      </c>
      <c r="T43" s="832">
        <f t="shared" si="2"/>
        <v>-0.64</v>
      </c>
      <c r="U43" s="839" t="s">
        <v>507</v>
      </c>
      <c r="V43" s="782" t="s">
        <v>507</v>
      </c>
      <c r="W43" s="782" t="s">
        <v>507</v>
      </c>
      <c r="X43" s="837" t="s">
        <v>507</v>
      </c>
      <c r="Y43" s="835"/>
    </row>
    <row r="44" spans="1:25" ht="14.4" customHeight="1" x14ac:dyDescent="0.3">
      <c r="A44" s="801" t="s">
        <v>4021</v>
      </c>
      <c r="B44" s="774">
        <v>1</v>
      </c>
      <c r="C44" s="775">
        <v>2.52</v>
      </c>
      <c r="D44" s="776">
        <v>2</v>
      </c>
      <c r="E44" s="786"/>
      <c r="F44" s="769"/>
      <c r="G44" s="770"/>
      <c r="H44" s="768"/>
      <c r="I44" s="769"/>
      <c r="J44" s="770"/>
      <c r="K44" s="771">
        <v>0.59</v>
      </c>
      <c r="L44" s="768">
        <v>2</v>
      </c>
      <c r="M44" s="768">
        <v>21</v>
      </c>
      <c r="N44" s="772">
        <v>7</v>
      </c>
      <c r="O44" s="768" t="s">
        <v>3947</v>
      </c>
      <c r="P44" s="785" t="s">
        <v>4022</v>
      </c>
      <c r="Q44" s="773">
        <f t="shared" si="0"/>
        <v>-1</v>
      </c>
      <c r="R44" s="832">
        <f t="shared" si="0"/>
        <v>-2.52</v>
      </c>
      <c r="S44" s="773">
        <f t="shared" si="1"/>
        <v>0</v>
      </c>
      <c r="T44" s="832">
        <f t="shared" si="2"/>
        <v>0</v>
      </c>
      <c r="U44" s="839" t="s">
        <v>507</v>
      </c>
      <c r="V44" s="782" t="s">
        <v>507</v>
      </c>
      <c r="W44" s="782" t="s">
        <v>507</v>
      </c>
      <c r="X44" s="837" t="s">
        <v>507</v>
      </c>
      <c r="Y44" s="835"/>
    </row>
    <row r="45" spans="1:25" ht="14.4" customHeight="1" x14ac:dyDescent="0.3">
      <c r="A45" s="801" t="s">
        <v>4023</v>
      </c>
      <c r="B45" s="782">
        <v>1</v>
      </c>
      <c r="C45" s="783">
        <v>0.32</v>
      </c>
      <c r="D45" s="784">
        <v>1</v>
      </c>
      <c r="E45" s="786"/>
      <c r="F45" s="769"/>
      <c r="G45" s="770"/>
      <c r="H45" s="765">
        <v>1</v>
      </c>
      <c r="I45" s="766">
        <v>2.17</v>
      </c>
      <c r="J45" s="767">
        <v>3</v>
      </c>
      <c r="K45" s="771">
        <v>0.6</v>
      </c>
      <c r="L45" s="768">
        <v>2</v>
      </c>
      <c r="M45" s="768">
        <v>18</v>
      </c>
      <c r="N45" s="772">
        <v>6</v>
      </c>
      <c r="O45" s="768" t="s">
        <v>3947</v>
      </c>
      <c r="P45" s="785" t="s">
        <v>4024</v>
      </c>
      <c r="Q45" s="773">
        <f t="shared" si="0"/>
        <v>0</v>
      </c>
      <c r="R45" s="832">
        <f t="shared" si="0"/>
        <v>1.8499999999999999</v>
      </c>
      <c r="S45" s="773">
        <f t="shared" si="1"/>
        <v>1</v>
      </c>
      <c r="T45" s="832">
        <f t="shared" si="2"/>
        <v>2.17</v>
      </c>
      <c r="U45" s="839">
        <v>6</v>
      </c>
      <c r="V45" s="782">
        <v>3</v>
      </c>
      <c r="W45" s="782">
        <v>-3</v>
      </c>
      <c r="X45" s="837">
        <v>0.5</v>
      </c>
      <c r="Y45" s="835"/>
    </row>
    <row r="46" spans="1:25" ht="14.4" customHeight="1" x14ac:dyDescent="0.3">
      <c r="A46" s="801" t="s">
        <v>4025</v>
      </c>
      <c r="B46" s="774">
        <v>1</v>
      </c>
      <c r="C46" s="775">
        <v>5.26</v>
      </c>
      <c r="D46" s="776">
        <v>22</v>
      </c>
      <c r="E46" s="786"/>
      <c r="F46" s="769"/>
      <c r="G46" s="770"/>
      <c r="H46" s="768"/>
      <c r="I46" s="769"/>
      <c r="J46" s="770"/>
      <c r="K46" s="771">
        <v>0.31</v>
      </c>
      <c r="L46" s="768">
        <v>1</v>
      </c>
      <c r="M46" s="768">
        <v>12</v>
      </c>
      <c r="N46" s="772">
        <v>4</v>
      </c>
      <c r="O46" s="768" t="s">
        <v>3947</v>
      </c>
      <c r="P46" s="785" t="s">
        <v>4026</v>
      </c>
      <c r="Q46" s="773">
        <f t="shared" si="0"/>
        <v>-1</v>
      </c>
      <c r="R46" s="832">
        <f t="shared" si="0"/>
        <v>-5.26</v>
      </c>
      <c r="S46" s="773">
        <f t="shared" si="1"/>
        <v>0</v>
      </c>
      <c r="T46" s="832">
        <f t="shared" si="2"/>
        <v>0</v>
      </c>
      <c r="U46" s="839" t="s">
        <v>507</v>
      </c>
      <c r="V46" s="782" t="s">
        <v>507</v>
      </c>
      <c r="W46" s="782" t="s">
        <v>507</v>
      </c>
      <c r="X46" s="837" t="s">
        <v>507</v>
      </c>
      <c r="Y46" s="835"/>
    </row>
    <row r="47" spans="1:25" ht="14.4" customHeight="1" x14ac:dyDescent="0.3">
      <c r="A47" s="802" t="s">
        <v>4027</v>
      </c>
      <c r="B47" s="788"/>
      <c r="C47" s="789"/>
      <c r="D47" s="777"/>
      <c r="E47" s="790">
        <v>1</v>
      </c>
      <c r="F47" s="791">
        <v>0.27</v>
      </c>
      <c r="G47" s="778">
        <v>1</v>
      </c>
      <c r="H47" s="792"/>
      <c r="I47" s="791"/>
      <c r="J47" s="778"/>
      <c r="K47" s="793">
        <v>0.46</v>
      </c>
      <c r="L47" s="792">
        <v>2</v>
      </c>
      <c r="M47" s="792">
        <v>15</v>
      </c>
      <c r="N47" s="794">
        <v>5</v>
      </c>
      <c r="O47" s="792" t="s">
        <v>3947</v>
      </c>
      <c r="P47" s="795" t="s">
        <v>4028</v>
      </c>
      <c r="Q47" s="796">
        <f t="shared" si="0"/>
        <v>0</v>
      </c>
      <c r="R47" s="833">
        <f t="shared" si="0"/>
        <v>0</v>
      </c>
      <c r="S47" s="796">
        <f t="shared" si="1"/>
        <v>-1</v>
      </c>
      <c r="T47" s="833">
        <f t="shared" si="2"/>
        <v>-0.27</v>
      </c>
      <c r="U47" s="840" t="s">
        <v>507</v>
      </c>
      <c r="V47" s="797" t="s">
        <v>507</v>
      </c>
      <c r="W47" s="797" t="s">
        <v>507</v>
      </c>
      <c r="X47" s="838" t="s">
        <v>507</v>
      </c>
      <c r="Y47" s="836"/>
    </row>
    <row r="48" spans="1:25" ht="14.4" customHeight="1" x14ac:dyDescent="0.3">
      <c r="A48" s="802" t="s">
        <v>4029</v>
      </c>
      <c r="B48" s="788">
        <v>2</v>
      </c>
      <c r="C48" s="789">
        <v>2.59</v>
      </c>
      <c r="D48" s="777">
        <v>1.5</v>
      </c>
      <c r="E48" s="790"/>
      <c r="F48" s="791"/>
      <c r="G48" s="778"/>
      <c r="H48" s="792">
        <v>1</v>
      </c>
      <c r="I48" s="791">
        <v>0.32</v>
      </c>
      <c r="J48" s="778">
        <v>1</v>
      </c>
      <c r="K48" s="793">
        <v>0.86</v>
      </c>
      <c r="L48" s="792">
        <v>3</v>
      </c>
      <c r="M48" s="792">
        <v>27</v>
      </c>
      <c r="N48" s="794">
        <v>9</v>
      </c>
      <c r="O48" s="792" t="s">
        <v>3947</v>
      </c>
      <c r="P48" s="795" t="s">
        <v>4030</v>
      </c>
      <c r="Q48" s="796">
        <f t="shared" si="0"/>
        <v>-1</v>
      </c>
      <c r="R48" s="833">
        <f t="shared" si="0"/>
        <v>-2.27</v>
      </c>
      <c r="S48" s="796">
        <f t="shared" si="1"/>
        <v>1</v>
      </c>
      <c r="T48" s="833">
        <f t="shared" si="2"/>
        <v>0.32</v>
      </c>
      <c r="U48" s="840">
        <v>9</v>
      </c>
      <c r="V48" s="797">
        <v>1</v>
      </c>
      <c r="W48" s="797">
        <v>-8</v>
      </c>
      <c r="X48" s="838">
        <v>0.1111111111111111</v>
      </c>
      <c r="Y48" s="836"/>
    </row>
    <row r="49" spans="1:25" ht="14.4" customHeight="1" x14ac:dyDescent="0.3">
      <c r="A49" s="801" t="s">
        <v>4031</v>
      </c>
      <c r="B49" s="774">
        <v>1</v>
      </c>
      <c r="C49" s="775">
        <v>1.28</v>
      </c>
      <c r="D49" s="776">
        <v>2</v>
      </c>
      <c r="E49" s="786"/>
      <c r="F49" s="769"/>
      <c r="G49" s="770"/>
      <c r="H49" s="768"/>
      <c r="I49" s="769"/>
      <c r="J49" s="770"/>
      <c r="K49" s="771">
        <v>1.06</v>
      </c>
      <c r="L49" s="768">
        <v>4</v>
      </c>
      <c r="M49" s="768">
        <v>33</v>
      </c>
      <c r="N49" s="772">
        <v>11</v>
      </c>
      <c r="O49" s="768" t="s">
        <v>3947</v>
      </c>
      <c r="P49" s="785" t="s">
        <v>4032</v>
      </c>
      <c r="Q49" s="773">
        <f t="shared" si="0"/>
        <v>-1</v>
      </c>
      <c r="R49" s="832">
        <f t="shared" si="0"/>
        <v>-1.28</v>
      </c>
      <c r="S49" s="773">
        <f t="shared" si="1"/>
        <v>0</v>
      </c>
      <c r="T49" s="832">
        <f t="shared" si="2"/>
        <v>0</v>
      </c>
      <c r="U49" s="839" t="s">
        <v>507</v>
      </c>
      <c r="V49" s="782" t="s">
        <v>507</v>
      </c>
      <c r="W49" s="782" t="s">
        <v>507</v>
      </c>
      <c r="X49" s="837" t="s">
        <v>507</v>
      </c>
      <c r="Y49" s="835"/>
    </row>
    <row r="50" spans="1:25" ht="14.4" customHeight="1" x14ac:dyDescent="0.3">
      <c r="A50" s="801" t="s">
        <v>4033</v>
      </c>
      <c r="B50" s="782"/>
      <c r="C50" s="783"/>
      <c r="D50" s="784"/>
      <c r="E50" s="765">
        <v>1</v>
      </c>
      <c r="F50" s="766">
        <v>4.03</v>
      </c>
      <c r="G50" s="767">
        <v>2</v>
      </c>
      <c r="H50" s="768"/>
      <c r="I50" s="769"/>
      <c r="J50" s="770"/>
      <c r="K50" s="771">
        <v>4.99</v>
      </c>
      <c r="L50" s="768">
        <v>3</v>
      </c>
      <c r="M50" s="768">
        <v>27</v>
      </c>
      <c r="N50" s="772">
        <v>9</v>
      </c>
      <c r="O50" s="768" t="s">
        <v>3947</v>
      </c>
      <c r="P50" s="785" t="s">
        <v>4034</v>
      </c>
      <c r="Q50" s="773">
        <f t="shared" si="0"/>
        <v>0</v>
      </c>
      <c r="R50" s="832">
        <f t="shared" si="0"/>
        <v>0</v>
      </c>
      <c r="S50" s="773">
        <f t="shared" si="1"/>
        <v>-1</v>
      </c>
      <c r="T50" s="832">
        <f t="shared" si="2"/>
        <v>-4.03</v>
      </c>
      <c r="U50" s="839" t="s">
        <v>507</v>
      </c>
      <c r="V50" s="782" t="s">
        <v>507</v>
      </c>
      <c r="W50" s="782" t="s">
        <v>507</v>
      </c>
      <c r="X50" s="837" t="s">
        <v>507</v>
      </c>
      <c r="Y50" s="835"/>
    </row>
    <row r="51" spans="1:25" ht="14.4" customHeight="1" x14ac:dyDescent="0.3">
      <c r="A51" s="802" t="s">
        <v>4035</v>
      </c>
      <c r="B51" s="797"/>
      <c r="C51" s="798"/>
      <c r="D51" s="787"/>
      <c r="E51" s="799">
        <v>1</v>
      </c>
      <c r="F51" s="800">
        <v>7.41</v>
      </c>
      <c r="G51" s="780">
        <v>6</v>
      </c>
      <c r="H51" s="792">
        <v>1</v>
      </c>
      <c r="I51" s="791">
        <v>7.41</v>
      </c>
      <c r="J51" s="778">
        <v>6</v>
      </c>
      <c r="K51" s="793">
        <v>7.41</v>
      </c>
      <c r="L51" s="792">
        <v>5</v>
      </c>
      <c r="M51" s="792">
        <v>45</v>
      </c>
      <c r="N51" s="794">
        <v>15</v>
      </c>
      <c r="O51" s="792" t="s">
        <v>3947</v>
      </c>
      <c r="P51" s="795" t="s">
        <v>4036</v>
      </c>
      <c r="Q51" s="796">
        <f t="shared" si="0"/>
        <v>1</v>
      </c>
      <c r="R51" s="833">
        <f t="shared" si="0"/>
        <v>7.41</v>
      </c>
      <c r="S51" s="796">
        <f t="shared" si="1"/>
        <v>0</v>
      </c>
      <c r="T51" s="833">
        <f t="shared" si="2"/>
        <v>0</v>
      </c>
      <c r="U51" s="840">
        <v>15</v>
      </c>
      <c r="V51" s="797">
        <v>6</v>
      </c>
      <c r="W51" s="797">
        <v>-9</v>
      </c>
      <c r="X51" s="838">
        <v>0.4</v>
      </c>
      <c r="Y51" s="836"/>
    </row>
    <row r="52" spans="1:25" ht="14.4" customHeight="1" x14ac:dyDescent="0.3">
      <c r="A52" s="801" t="s">
        <v>4037</v>
      </c>
      <c r="B52" s="782"/>
      <c r="C52" s="783"/>
      <c r="D52" s="784"/>
      <c r="E52" s="786"/>
      <c r="F52" s="769"/>
      <c r="G52" s="770"/>
      <c r="H52" s="765">
        <v>1</v>
      </c>
      <c r="I52" s="766">
        <v>2.61</v>
      </c>
      <c r="J52" s="767">
        <v>3</v>
      </c>
      <c r="K52" s="771">
        <v>3.11</v>
      </c>
      <c r="L52" s="768">
        <v>4</v>
      </c>
      <c r="M52" s="768">
        <v>39</v>
      </c>
      <c r="N52" s="772">
        <v>13</v>
      </c>
      <c r="O52" s="768" t="s">
        <v>3947</v>
      </c>
      <c r="P52" s="785" t="s">
        <v>4038</v>
      </c>
      <c r="Q52" s="773">
        <f t="shared" si="0"/>
        <v>1</v>
      </c>
      <c r="R52" s="832">
        <f t="shared" si="0"/>
        <v>2.61</v>
      </c>
      <c r="S52" s="773">
        <f t="shared" si="1"/>
        <v>1</v>
      </c>
      <c r="T52" s="832">
        <f t="shared" si="2"/>
        <v>2.61</v>
      </c>
      <c r="U52" s="839">
        <v>13</v>
      </c>
      <c r="V52" s="782">
        <v>3</v>
      </c>
      <c r="W52" s="782">
        <v>-10</v>
      </c>
      <c r="X52" s="837">
        <v>0.23076923076923078</v>
      </c>
      <c r="Y52" s="835"/>
    </row>
    <row r="53" spans="1:25" ht="14.4" customHeight="1" x14ac:dyDescent="0.3">
      <c r="A53" s="801" t="s">
        <v>4039</v>
      </c>
      <c r="B53" s="782">
        <v>1</v>
      </c>
      <c r="C53" s="783">
        <v>1.41</v>
      </c>
      <c r="D53" s="784">
        <v>2</v>
      </c>
      <c r="E53" s="786"/>
      <c r="F53" s="769"/>
      <c r="G53" s="770"/>
      <c r="H53" s="765"/>
      <c r="I53" s="766"/>
      <c r="J53" s="767"/>
      <c r="K53" s="771">
        <v>2.38</v>
      </c>
      <c r="L53" s="768">
        <v>4</v>
      </c>
      <c r="M53" s="768">
        <v>33</v>
      </c>
      <c r="N53" s="772">
        <v>11</v>
      </c>
      <c r="O53" s="768" t="s">
        <v>3947</v>
      </c>
      <c r="P53" s="785" t="s">
        <v>4040</v>
      </c>
      <c r="Q53" s="773">
        <f t="shared" si="0"/>
        <v>-1</v>
      </c>
      <c r="R53" s="832">
        <f t="shared" si="0"/>
        <v>-1.41</v>
      </c>
      <c r="S53" s="773">
        <f t="shared" si="1"/>
        <v>0</v>
      </c>
      <c r="T53" s="832">
        <f t="shared" si="2"/>
        <v>0</v>
      </c>
      <c r="U53" s="839" t="s">
        <v>507</v>
      </c>
      <c r="V53" s="782" t="s">
        <v>507</v>
      </c>
      <c r="W53" s="782" t="s">
        <v>507</v>
      </c>
      <c r="X53" s="837" t="s">
        <v>507</v>
      </c>
      <c r="Y53" s="835"/>
    </row>
    <row r="54" spans="1:25" ht="14.4" customHeight="1" x14ac:dyDescent="0.3">
      <c r="A54" s="802" t="s">
        <v>4041</v>
      </c>
      <c r="B54" s="797"/>
      <c r="C54" s="798"/>
      <c r="D54" s="787"/>
      <c r="E54" s="790"/>
      <c r="F54" s="791"/>
      <c r="G54" s="778"/>
      <c r="H54" s="799">
        <v>1</v>
      </c>
      <c r="I54" s="800">
        <v>2.76</v>
      </c>
      <c r="J54" s="780">
        <v>7</v>
      </c>
      <c r="K54" s="793">
        <v>2.76</v>
      </c>
      <c r="L54" s="792">
        <v>4</v>
      </c>
      <c r="M54" s="792">
        <v>39</v>
      </c>
      <c r="N54" s="794">
        <v>13</v>
      </c>
      <c r="O54" s="792" t="s">
        <v>3947</v>
      </c>
      <c r="P54" s="795" t="s">
        <v>4040</v>
      </c>
      <c r="Q54" s="796">
        <f t="shared" si="0"/>
        <v>1</v>
      </c>
      <c r="R54" s="833">
        <f t="shared" si="0"/>
        <v>2.76</v>
      </c>
      <c r="S54" s="796">
        <f t="shared" si="1"/>
        <v>1</v>
      </c>
      <c r="T54" s="833">
        <f t="shared" si="2"/>
        <v>2.76</v>
      </c>
      <c r="U54" s="840">
        <v>13</v>
      </c>
      <c r="V54" s="797">
        <v>7</v>
      </c>
      <c r="W54" s="797">
        <v>-6</v>
      </c>
      <c r="X54" s="838">
        <v>0.53846153846153844</v>
      </c>
      <c r="Y54" s="836"/>
    </row>
    <row r="55" spans="1:25" ht="14.4" customHeight="1" x14ac:dyDescent="0.3">
      <c r="A55" s="802" t="s">
        <v>4042</v>
      </c>
      <c r="B55" s="797"/>
      <c r="C55" s="798"/>
      <c r="D55" s="787"/>
      <c r="E55" s="790">
        <v>2</v>
      </c>
      <c r="F55" s="791">
        <v>9.27</v>
      </c>
      <c r="G55" s="778">
        <v>4.5</v>
      </c>
      <c r="H55" s="799">
        <v>2</v>
      </c>
      <c r="I55" s="800">
        <v>6.89</v>
      </c>
      <c r="J55" s="780">
        <v>9</v>
      </c>
      <c r="K55" s="793">
        <v>3.7</v>
      </c>
      <c r="L55" s="792">
        <v>6</v>
      </c>
      <c r="M55" s="792">
        <v>51</v>
      </c>
      <c r="N55" s="794">
        <v>17</v>
      </c>
      <c r="O55" s="792" t="s">
        <v>3947</v>
      </c>
      <c r="P55" s="795" t="s">
        <v>4040</v>
      </c>
      <c r="Q55" s="796">
        <f t="shared" si="0"/>
        <v>2</v>
      </c>
      <c r="R55" s="833">
        <f t="shared" si="0"/>
        <v>6.89</v>
      </c>
      <c r="S55" s="796">
        <f t="shared" si="1"/>
        <v>0</v>
      </c>
      <c r="T55" s="833">
        <f t="shared" si="2"/>
        <v>-2.38</v>
      </c>
      <c r="U55" s="840">
        <v>34</v>
      </c>
      <c r="V55" s="797">
        <v>18</v>
      </c>
      <c r="W55" s="797">
        <v>-16</v>
      </c>
      <c r="X55" s="838">
        <v>0.52941176470588236</v>
      </c>
      <c r="Y55" s="836"/>
    </row>
    <row r="56" spans="1:25" ht="14.4" customHeight="1" x14ac:dyDescent="0.3">
      <c r="A56" s="801" t="s">
        <v>4043</v>
      </c>
      <c r="B56" s="774">
        <v>1</v>
      </c>
      <c r="C56" s="775">
        <v>2.37</v>
      </c>
      <c r="D56" s="776">
        <v>9</v>
      </c>
      <c r="E56" s="786"/>
      <c r="F56" s="769"/>
      <c r="G56" s="770"/>
      <c r="H56" s="768"/>
      <c r="I56" s="769"/>
      <c r="J56" s="770"/>
      <c r="K56" s="771">
        <v>2.37</v>
      </c>
      <c r="L56" s="768">
        <v>4</v>
      </c>
      <c r="M56" s="768">
        <v>39</v>
      </c>
      <c r="N56" s="772">
        <v>13</v>
      </c>
      <c r="O56" s="768" t="s">
        <v>3947</v>
      </c>
      <c r="P56" s="785" t="s">
        <v>4044</v>
      </c>
      <c r="Q56" s="773">
        <f t="shared" si="0"/>
        <v>-1</v>
      </c>
      <c r="R56" s="832">
        <f t="shared" si="0"/>
        <v>-2.37</v>
      </c>
      <c r="S56" s="773">
        <f t="shared" si="1"/>
        <v>0</v>
      </c>
      <c r="T56" s="832">
        <f t="shared" si="2"/>
        <v>0</v>
      </c>
      <c r="U56" s="839" t="s">
        <v>507</v>
      </c>
      <c r="V56" s="782" t="s">
        <v>507</v>
      </c>
      <c r="W56" s="782" t="s">
        <v>507</v>
      </c>
      <c r="X56" s="837" t="s">
        <v>507</v>
      </c>
      <c r="Y56" s="835"/>
    </row>
    <row r="57" spans="1:25" ht="14.4" customHeight="1" x14ac:dyDescent="0.3">
      <c r="A57" s="801" t="s">
        <v>4045</v>
      </c>
      <c r="B57" s="774">
        <v>1</v>
      </c>
      <c r="C57" s="775">
        <v>1.37</v>
      </c>
      <c r="D57" s="776">
        <v>3</v>
      </c>
      <c r="E57" s="786"/>
      <c r="F57" s="769"/>
      <c r="G57" s="770"/>
      <c r="H57" s="768"/>
      <c r="I57" s="769"/>
      <c r="J57" s="770"/>
      <c r="K57" s="771">
        <v>1.37</v>
      </c>
      <c r="L57" s="768">
        <v>2</v>
      </c>
      <c r="M57" s="768">
        <v>21</v>
      </c>
      <c r="N57" s="772">
        <v>7</v>
      </c>
      <c r="O57" s="768" t="s">
        <v>3947</v>
      </c>
      <c r="P57" s="785" t="s">
        <v>4046</v>
      </c>
      <c r="Q57" s="773">
        <f t="shared" si="0"/>
        <v>-1</v>
      </c>
      <c r="R57" s="832">
        <f t="shared" si="0"/>
        <v>-1.37</v>
      </c>
      <c r="S57" s="773">
        <f t="shared" si="1"/>
        <v>0</v>
      </c>
      <c r="T57" s="832">
        <f t="shared" si="2"/>
        <v>0</v>
      </c>
      <c r="U57" s="839" t="s">
        <v>507</v>
      </c>
      <c r="V57" s="782" t="s">
        <v>507</v>
      </c>
      <c r="W57" s="782" t="s">
        <v>507</v>
      </c>
      <c r="X57" s="837" t="s">
        <v>507</v>
      </c>
      <c r="Y57" s="835"/>
    </row>
    <row r="58" spans="1:25" ht="14.4" customHeight="1" x14ac:dyDescent="0.3">
      <c r="A58" s="801" t="s">
        <v>4047</v>
      </c>
      <c r="B58" s="782"/>
      <c r="C58" s="783"/>
      <c r="D58" s="784"/>
      <c r="E58" s="786">
        <v>1</v>
      </c>
      <c r="F58" s="769">
        <v>0.75</v>
      </c>
      <c r="G58" s="770">
        <v>4</v>
      </c>
      <c r="H58" s="765"/>
      <c r="I58" s="766"/>
      <c r="J58" s="767"/>
      <c r="K58" s="771">
        <v>0.61</v>
      </c>
      <c r="L58" s="768">
        <v>1</v>
      </c>
      <c r="M58" s="768">
        <v>12</v>
      </c>
      <c r="N58" s="772">
        <v>4</v>
      </c>
      <c r="O58" s="768" t="s">
        <v>3947</v>
      </c>
      <c r="P58" s="785" t="s">
        <v>4048</v>
      </c>
      <c r="Q58" s="773">
        <f t="shared" si="0"/>
        <v>0</v>
      </c>
      <c r="R58" s="832">
        <f t="shared" si="0"/>
        <v>0</v>
      </c>
      <c r="S58" s="773">
        <f t="shared" si="1"/>
        <v>-1</v>
      </c>
      <c r="T58" s="832">
        <f t="shared" si="2"/>
        <v>-0.75</v>
      </c>
      <c r="U58" s="839" t="s">
        <v>507</v>
      </c>
      <c r="V58" s="782" t="s">
        <v>507</v>
      </c>
      <c r="W58" s="782" t="s">
        <v>507</v>
      </c>
      <c r="X58" s="837" t="s">
        <v>507</v>
      </c>
      <c r="Y58" s="835"/>
    </row>
    <row r="59" spans="1:25" ht="14.4" customHeight="1" x14ac:dyDescent="0.3">
      <c r="A59" s="802" t="s">
        <v>4049</v>
      </c>
      <c r="B59" s="797"/>
      <c r="C59" s="798"/>
      <c r="D59" s="787"/>
      <c r="E59" s="790"/>
      <c r="F59" s="791"/>
      <c r="G59" s="778"/>
      <c r="H59" s="799">
        <v>1</v>
      </c>
      <c r="I59" s="800">
        <v>1.89</v>
      </c>
      <c r="J59" s="781">
        <v>16</v>
      </c>
      <c r="K59" s="793">
        <v>1.25</v>
      </c>
      <c r="L59" s="792">
        <v>3</v>
      </c>
      <c r="M59" s="792">
        <v>27</v>
      </c>
      <c r="N59" s="794">
        <v>9</v>
      </c>
      <c r="O59" s="792" t="s">
        <v>3947</v>
      </c>
      <c r="P59" s="795" t="s">
        <v>4048</v>
      </c>
      <c r="Q59" s="796">
        <f t="shared" si="0"/>
        <v>1</v>
      </c>
      <c r="R59" s="833">
        <f t="shared" si="0"/>
        <v>1.89</v>
      </c>
      <c r="S59" s="796">
        <f t="shared" si="1"/>
        <v>1</v>
      </c>
      <c r="T59" s="833">
        <f t="shared" si="2"/>
        <v>1.89</v>
      </c>
      <c r="U59" s="840">
        <v>9</v>
      </c>
      <c r="V59" s="797">
        <v>16</v>
      </c>
      <c r="W59" s="797">
        <v>7</v>
      </c>
      <c r="X59" s="838">
        <v>1.7777777777777777</v>
      </c>
      <c r="Y59" s="836">
        <v>7</v>
      </c>
    </row>
    <row r="60" spans="1:25" ht="14.4" customHeight="1" x14ac:dyDescent="0.3">
      <c r="A60" s="801" t="s">
        <v>4050</v>
      </c>
      <c r="B60" s="782"/>
      <c r="C60" s="783"/>
      <c r="D60" s="784"/>
      <c r="E60" s="786">
        <v>1</v>
      </c>
      <c r="F60" s="769">
        <v>0.62</v>
      </c>
      <c r="G60" s="770">
        <v>2</v>
      </c>
      <c r="H60" s="765">
        <v>1</v>
      </c>
      <c r="I60" s="766">
        <v>0.91</v>
      </c>
      <c r="J60" s="767">
        <v>3</v>
      </c>
      <c r="K60" s="771">
        <v>1.19</v>
      </c>
      <c r="L60" s="768">
        <v>4</v>
      </c>
      <c r="M60" s="768">
        <v>33</v>
      </c>
      <c r="N60" s="772">
        <v>11</v>
      </c>
      <c r="O60" s="768" t="s">
        <v>3947</v>
      </c>
      <c r="P60" s="785" t="s">
        <v>4051</v>
      </c>
      <c r="Q60" s="773">
        <f t="shared" si="0"/>
        <v>1</v>
      </c>
      <c r="R60" s="832">
        <f t="shared" si="0"/>
        <v>0.91</v>
      </c>
      <c r="S60" s="773">
        <f t="shared" si="1"/>
        <v>0</v>
      </c>
      <c r="T60" s="832">
        <f t="shared" si="2"/>
        <v>0.29000000000000004</v>
      </c>
      <c r="U60" s="839">
        <v>11</v>
      </c>
      <c r="V60" s="782">
        <v>3</v>
      </c>
      <c r="W60" s="782">
        <v>-8</v>
      </c>
      <c r="X60" s="837">
        <v>0.27272727272727271</v>
      </c>
      <c r="Y60" s="835"/>
    </row>
    <row r="61" spans="1:25" ht="14.4" customHeight="1" x14ac:dyDescent="0.3">
      <c r="A61" s="801" t="s">
        <v>4052</v>
      </c>
      <c r="B61" s="782"/>
      <c r="C61" s="783"/>
      <c r="D61" s="784"/>
      <c r="E61" s="765">
        <v>1</v>
      </c>
      <c r="F61" s="766">
        <v>0.36</v>
      </c>
      <c r="G61" s="767">
        <v>4</v>
      </c>
      <c r="H61" s="768"/>
      <c r="I61" s="769"/>
      <c r="J61" s="770"/>
      <c r="K61" s="771">
        <v>0.32</v>
      </c>
      <c r="L61" s="768">
        <v>1</v>
      </c>
      <c r="M61" s="768">
        <v>9</v>
      </c>
      <c r="N61" s="772">
        <v>3</v>
      </c>
      <c r="O61" s="768" t="s">
        <v>3947</v>
      </c>
      <c r="P61" s="785" t="s">
        <v>4053</v>
      </c>
      <c r="Q61" s="773">
        <f t="shared" si="0"/>
        <v>0</v>
      </c>
      <c r="R61" s="832">
        <f t="shared" si="0"/>
        <v>0</v>
      </c>
      <c r="S61" s="773">
        <f t="shared" si="1"/>
        <v>-1</v>
      </c>
      <c r="T61" s="832">
        <f t="shared" si="2"/>
        <v>-0.36</v>
      </c>
      <c r="U61" s="839" t="s">
        <v>507</v>
      </c>
      <c r="V61" s="782" t="s">
        <v>507</v>
      </c>
      <c r="W61" s="782" t="s">
        <v>507</v>
      </c>
      <c r="X61" s="837" t="s">
        <v>507</v>
      </c>
      <c r="Y61" s="835"/>
    </row>
    <row r="62" spans="1:25" ht="14.4" customHeight="1" x14ac:dyDescent="0.3">
      <c r="A62" s="801" t="s">
        <v>4054</v>
      </c>
      <c r="B62" s="782"/>
      <c r="C62" s="783"/>
      <c r="D62" s="784"/>
      <c r="E62" s="786"/>
      <c r="F62" s="769"/>
      <c r="G62" s="770"/>
      <c r="H62" s="765">
        <v>1</v>
      </c>
      <c r="I62" s="766">
        <v>0.79</v>
      </c>
      <c r="J62" s="767">
        <v>2</v>
      </c>
      <c r="K62" s="771">
        <v>1.86</v>
      </c>
      <c r="L62" s="768">
        <v>6</v>
      </c>
      <c r="M62" s="768">
        <v>51</v>
      </c>
      <c r="N62" s="772">
        <v>17</v>
      </c>
      <c r="O62" s="768" t="s">
        <v>3947</v>
      </c>
      <c r="P62" s="785" t="s">
        <v>4055</v>
      </c>
      <c r="Q62" s="773">
        <f t="shared" si="0"/>
        <v>1</v>
      </c>
      <c r="R62" s="832">
        <f t="shared" si="0"/>
        <v>0.79</v>
      </c>
      <c r="S62" s="773">
        <f t="shared" si="1"/>
        <v>1</v>
      </c>
      <c r="T62" s="832">
        <f t="shared" si="2"/>
        <v>0.79</v>
      </c>
      <c r="U62" s="839">
        <v>17</v>
      </c>
      <c r="V62" s="782">
        <v>2</v>
      </c>
      <c r="W62" s="782">
        <v>-15</v>
      </c>
      <c r="X62" s="837">
        <v>0.11764705882352941</v>
      </c>
      <c r="Y62" s="835"/>
    </row>
    <row r="63" spans="1:25" ht="14.4" customHeight="1" x14ac:dyDescent="0.3">
      <c r="A63" s="801" t="s">
        <v>4056</v>
      </c>
      <c r="B63" s="782"/>
      <c r="C63" s="783"/>
      <c r="D63" s="784"/>
      <c r="E63" s="786"/>
      <c r="F63" s="769"/>
      <c r="G63" s="770"/>
      <c r="H63" s="765">
        <v>1</v>
      </c>
      <c r="I63" s="766">
        <v>0.3</v>
      </c>
      <c r="J63" s="767">
        <v>2</v>
      </c>
      <c r="K63" s="771">
        <v>0.3</v>
      </c>
      <c r="L63" s="768">
        <v>1</v>
      </c>
      <c r="M63" s="768">
        <v>12</v>
      </c>
      <c r="N63" s="772">
        <v>4</v>
      </c>
      <c r="O63" s="768" t="s">
        <v>3947</v>
      </c>
      <c r="P63" s="785" t="s">
        <v>4057</v>
      </c>
      <c r="Q63" s="773">
        <f t="shared" si="0"/>
        <v>1</v>
      </c>
      <c r="R63" s="832">
        <f t="shared" si="0"/>
        <v>0.3</v>
      </c>
      <c r="S63" s="773">
        <f t="shared" si="1"/>
        <v>1</v>
      </c>
      <c r="T63" s="832">
        <f t="shared" si="2"/>
        <v>0.3</v>
      </c>
      <c r="U63" s="839">
        <v>4</v>
      </c>
      <c r="V63" s="782">
        <v>2</v>
      </c>
      <c r="W63" s="782">
        <v>-2</v>
      </c>
      <c r="X63" s="837">
        <v>0.5</v>
      </c>
      <c r="Y63" s="835"/>
    </row>
    <row r="64" spans="1:25" ht="14.4" customHeight="1" x14ac:dyDescent="0.3">
      <c r="A64" s="801" t="s">
        <v>4058</v>
      </c>
      <c r="B64" s="782"/>
      <c r="C64" s="783"/>
      <c r="D64" s="784"/>
      <c r="E64" s="786"/>
      <c r="F64" s="769"/>
      <c r="G64" s="770"/>
      <c r="H64" s="765">
        <v>1</v>
      </c>
      <c r="I64" s="766">
        <v>1.48</v>
      </c>
      <c r="J64" s="779">
        <v>7</v>
      </c>
      <c r="K64" s="771">
        <v>1.3</v>
      </c>
      <c r="L64" s="768">
        <v>2</v>
      </c>
      <c r="M64" s="768">
        <v>18</v>
      </c>
      <c r="N64" s="772">
        <v>6</v>
      </c>
      <c r="O64" s="768" t="s">
        <v>3947</v>
      </c>
      <c r="P64" s="785" t="s">
        <v>4059</v>
      </c>
      <c r="Q64" s="773">
        <f t="shared" si="0"/>
        <v>1</v>
      </c>
      <c r="R64" s="832">
        <f t="shared" si="0"/>
        <v>1.48</v>
      </c>
      <c r="S64" s="773">
        <f t="shared" si="1"/>
        <v>1</v>
      </c>
      <c r="T64" s="832">
        <f t="shared" si="2"/>
        <v>1.48</v>
      </c>
      <c r="U64" s="839">
        <v>6</v>
      </c>
      <c r="V64" s="782">
        <v>7</v>
      </c>
      <c r="W64" s="782">
        <v>1</v>
      </c>
      <c r="X64" s="837">
        <v>1.1666666666666667</v>
      </c>
      <c r="Y64" s="835">
        <v>1</v>
      </c>
    </row>
    <row r="65" spans="1:25" ht="14.4" customHeight="1" x14ac:dyDescent="0.3">
      <c r="A65" s="801" t="s">
        <v>4060</v>
      </c>
      <c r="B65" s="774">
        <v>1</v>
      </c>
      <c r="C65" s="775">
        <v>1.52</v>
      </c>
      <c r="D65" s="776">
        <v>2</v>
      </c>
      <c r="E65" s="786"/>
      <c r="F65" s="769"/>
      <c r="G65" s="770"/>
      <c r="H65" s="768"/>
      <c r="I65" s="769"/>
      <c r="J65" s="770"/>
      <c r="K65" s="771">
        <v>3.72</v>
      </c>
      <c r="L65" s="768">
        <v>6</v>
      </c>
      <c r="M65" s="768">
        <v>54</v>
      </c>
      <c r="N65" s="772">
        <v>18</v>
      </c>
      <c r="O65" s="768" t="s">
        <v>3947</v>
      </c>
      <c r="P65" s="785" t="s">
        <v>4061</v>
      </c>
      <c r="Q65" s="773">
        <f t="shared" si="0"/>
        <v>-1</v>
      </c>
      <c r="R65" s="832">
        <f t="shared" si="0"/>
        <v>-1.52</v>
      </c>
      <c r="S65" s="773">
        <f t="shared" si="1"/>
        <v>0</v>
      </c>
      <c r="T65" s="832">
        <f t="shared" si="2"/>
        <v>0</v>
      </c>
      <c r="U65" s="839" t="s">
        <v>507</v>
      </c>
      <c r="V65" s="782" t="s">
        <v>507</v>
      </c>
      <c r="W65" s="782" t="s">
        <v>507</v>
      </c>
      <c r="X65" s="837" t="s">
        <v>507</v>
      </c>
      <c r="Y65" s="835"/>
    </row>
    <row r="66" spans="1:25" ht="14.4" customHeight="1" x14ac:dyDescent="0.3">
      <c r="A66" s="801" t="s">
        <v>4062</v>
      </c>
      <c r="B66" s="782"/>
      <c r="C66" s="783"/>
      <c r="D66" s="784"/>
      <c r="E66" s="765">
        <v>1</v>
      </c>
      <c r="F66" s="766">
        <v>2.96</v>
      </c>
      <c r="G66" s="767">
        <v>10</v>
      </c>
      <c r="H66" s="768"/>
      <c r="I66" s="769"/>
      <c r="J66" s="770"/>
      <c r="K66" s="771">
        <v>2.96</v>
      </c>
      <c r="L66" s="768">
        <v>4</v>
      </c>
      <c r="M66" s="768">
        <v>33</v>
      </c>
      <c r="N66" s="772">
        <v>11</v>
      </c>
      <c r="O66" s="768" t="s">
        <v>3947</v>
      </c>
      <c r="P66" s="785" t="s">
        <v>4063</v>
      </c>
      <c r="Q66" s="773">
        <f t="shared" si="0"/>
        <v>0</v>
      </c>
      <c r="R66" s="832">
        <f t="shared" si="0"/>
        <v>0</v>
      </c>
      <c r="S66" s="773">
        <f t="shared" si="1"/>
        <v>-1</v>
      </c>
      <c r="T66" s="832">
        <f t="shared" si="2"/>
        <v>-2.96</v>
      </c>
      <c r="U66" s="839" t="s">
        <v>507</v>
      </c>
      <c r="V66" s="782" t="s">
        <v>507</v>
      </c>
      <c r="W66" s="782" t="s">
        <v>507</v>
      </c>
      <c r="X66" s="837" t="s">
        <v>507</v>
      </c>
      <c r="Y66" s="835"/>
    </row>
    <row r="67" spans="1:25" ht="14.4" customHeight="1" x14ac:dyDescent="0.3">
      <c r="A67" s="801" t="s">
        <v>4064</v>
      </c>
      <c r="B67" s="774">
        <v>1</v>
      </c>
      <c r="C67" s="775">
        <v>1.91</v>
      </c>
      <c r="D67" s="776">
        <v>6</v>
      </c>
      <c r="E67" s="786"/>
      <c r="F67" s="769"/>
      <c r="G67" s="770"/>
      <c r="H67" s="768"/>
      <c r="I67" s="769"/>
      <c r="J67" s="770"/>
      <c r="K67" s="771">
        <v>1.91</v>
      </c>
      <c r="L67" s="768">
        <v>3</v>
      </c>
      <c r="M67" s="768">
        <v>30</v>
      </c>
      <c r="N67" s="772">
        <v>10</v>
      </c>
      <c r="O67" s="768" t="s">
        <v>3947</v>
      </c>
      <c r="P67" s="785" t="s">
        <v>4065</v>
      </c>
      <c r="Q67" s="773">
        <f t="shared" si="0"/>
        <v>-1</v>
      </c>
      <c r="R67" s="832">
        <f t="shared" si="0"/>
        <v>-1.91</v>
      </c>
      <c r="S67" s="773">
        <f t="shared" si="1"/>
        <v>0</v>
      </c>
      <c r="T67" s="832">
        <f t="shared" si="2"/>
        <v>0</v>
      </c>
      <c r="U67" s="839" t="s">
        <v>507</v>
      </c>
      <c r="V67" s="782" t="s">
        <v>507</v>
      </c>
      <c r="W67" s="782" t="s">
        <v>507</v>
      </c>
      <c r="X67" s="837" t="s">
        <v>507</v>
      </c>
      <c r="Y67" s="835"/>
    </row>
    <row r="68" spans="1:25" ht="14.4" customHeight="1" x14ac:dyDescent="0.3">
      <c r="A68" s="801" t="s">
        <v>4066</v>
      </c>
      <c r="B68" s="774">
        <v>1</v>
      </c>
      <c r="C68" s="775">
        <v>0.94</v>
      </c>
      <c r="D68" s="776">
        <v>2</v>
      </c>
      <c r="E68" s="786"/>
      <c r="F68" s="769"/>
      <c r="G68" s="770"/>
      <c r="H68" s="768"/>
      <c r="I68" s="769"/>
      <c r="J68" s="770"/>
      <c r="K68" s="771">
        <v>1.35</v>
      </c>
      <c r="L68" s="768">
        <v>3</v>
      </c>
      <c r="M68" s="768">
        <v>27</v>
      </c>
      <c r="N68" s="772">
        <v>9</v>
      </c>
      <c r="O68" s="768" t="s">
        <v>3947</v>
      </c>
      <c r="P68" s="785" t="s">
        <v>4067</v>
      </c>
      <c r="Q68" s="773">
        <f t="shared" si="0"/>
        <v>-1</v>
      </c>
      <c r="R68" s="832">
        <f t="shared" si="0"/>
        <v>-0.94</v>
      </c>
      <c r="S68" s="773">
        <f t="shared" si="1"/>
        <v>0</v>
      </c>
      <c r="T68" s="832">
        <f t="shared" si="2"/>
        <v>0</v>
      </c>
      <c r="U68" s="839" t="s">
        <v>507</v>
      </c>
      <c r="V68" s="782" t="s">
        <v>507</v>
      </c>
      <c r="W68" s="782" t="s">
        <v>507</v>
      </c>
      <c r="X68" s="837" t="s">
        <v>507</v>
      </c>
      <c r="Y68" s="835"/>
    </row>
    <row r="69" spans="1:25" ht="14.4" customHeight="1" x14ac:dyDescent="0.3">
      <c r="A69" s="801" t="s">
        <v>4068</v>
      </c>
      <c r="B69" s="774">
        <v>1</v>
      </c>
      <c r="C69" s="775">
        <v>1.1599999999999999</v>
      </c>
      <c r="D69" s="776">
        <v>6</v>
      </c>
      <c r="E69" s="786"/>
      <c r="F69" s="769"/>
      <c r="G69" s="770"/>
      <c r="H69" s="768"/>
      <c r="I69" s="769"/>
      <c r="J69" s="770"/>
      <c r="K69" s="771">
        <v>1</v>
      </c>
      <c r="L69" s="768">
        <v>3</v>
      </c>
      <c r="M69" s="768">
        <v>30</v>
      </c>
      <c r="N69" s="772">
        <v>10</v>
      </c>
      <c r="O69" s="768" t="s">
        <v>3947</v>
      </c>
      <c r="P69" s="785" t="s">
        <v>4069</v>
      </c>
      <c r="Q69" s="773">
        <f t="shared" si="0"/>
        <v>-1</v>
      </c>
      <c r="R69" s="832">
        <f t="shared" si="0"/>
        <v>-1.1599999999999999</v>
      </c>
      <c r="S69" s="773">
        <f t="shared" si="1"/>
        <v>0</v>
      </c>
      <c r="T69" s="832">
        <f t="shared" si="2"/>
        <v>0</v>
      </c>
      <c r="U69" s="839" t="s">
        <v>507</v>
      </c>
      <c r="V69" s="782" t="s">
        <v>507</v>
      </c>
      <c r="W69" s="782" t="s">
        <v>507</v>
      </c>
      <c r="X69" s="837" t="s">
        <v>507</v>
      </c>
      <c r="Y69" s="835"/>
    </row>
    <row r="70" spans="1:25" ht="14.4" customHeight="1" x14ac:dyDescent="0.3">
      <c r="A70" s="801" t="s">
        <v>4070</v>
      </c>
      <c r="B70" s="782"/>
      <c r="C70" s="783"/>
      <c r="D70" s="784"/>
      <c r="E70" s="765">
        <v>1</v>
      </c>
      <c r="F70" s="766">
        <v>0.53</v>
      </c>
      <c r="G70" s="767">
        <v>3</v>
      </c>
      <c r="H70" s="768"/>
      <c r="I70" s="769"/>
      <c r="J70" s="770"/>
      <c r="K70" s="771">
        <v>0.53</v>
      </c>
      <c r="L70" s="768">
        <v>2</v>
      </c>
      <c r="M70" s="768">
        <v>18</v>
      </c>
      <c r="N70" s="772">
        <v>6</v>
      </c>
      <c r="O70" s="768" t="s">
        <v>3947</v>
      </c>
      <c r="P70" s="785" t="s">
        <v>4071</v>
      </c>
      <c r="Q70" s="773">
        <f t="shared" ref="Q70:R91" si="3">H70-B70</f>
        <v>0</v>
      </c>
      <c r="R70" s="832">
        <f t="shared" si="3"/>
        <v>0</v>
      </c>
      <c r="S70" s="773">
        <f t="shared" ref="S70:S91" si="4">H70-E70</f>
        <v>-1</v>
      </c>
      <c r="T70" s="832">
        <f t="shared" ref="T70:T91" si="5">I70-F70</f>
        <v>-0.53</v>
      </c>
      <c r="U70" s="839" t="s">
        <v>507</v>
      </c>
      <c r="V70" s="782" t="s">
        <v>507</v>
      </c>
      <c r="W70" s="782" t="s">
        <v>507</v>
      </c>
      <c r="X70" s="837" t="s">
        <v>507</v>
      </c>
      <c r="Y70" s="835"/>
    </row>
    <row r="71" spans="1:25" ht="14.4" customHeight="1" x14ac:dyDescent="0.3">
      <c r="A71" s="801" t="s">
        <v>4072</v>
      </c>
      <c r="B71" s="782"/>
      <c r="C71" s="783"/>
      <c r="D71" s="784"/>
      <c r="E71" s="786"/>
      <c r="F71" s="769"/>
      <c r="G71" s="770"/>
      <c r="H71" s="765">
        <v>1</v>
      </c>
      <c r="I71" s="766">
        <v>0.2</v>
      </c>
      <c r="J71" s="767">
        <v>2</v>
      </c>
      <c r="K71" s="771">
        <v>0.2</v>
      </c>
      <c r="L71" s="768">
        <v>1</v>
      </c>
      <c r="M71" s="768">
        <v>9</v>
      </c>
      <c r="N71" s="772">
        <v>3</v>
      </c>
      <c r="O71" s="768" t="s">
        <v>3947</v>
      </c>
      <c r="P71" s="785" t="s">
        <v>4073</v>
      </c>
      <c r="Q71" s="773">
        <f t="shared" si="3"/>
        <v>1</v>
      </c>
      <c r="R71" s="832">
        <f t="shared" si="3"/>
        <v>0.2</v>
      </c>
      <c r="S71" s="773">
        <f t="shared" si="4"/>
        <v>1</v>
      </c>
      <c r="T71" s="832">
        <f t="shared" si="5"/>
        <v>0.2</v>
      </c>
      <c r="U71" s="839">
        <v>3</v>
      </c>
      <c r="V71" s="782">
        <v>2</v>
      </c>
      <c r="W71" s="782">
        <v>-1</v>
      </c>
      <c r="X71" s="837">
        <v>0.66666666666666663</v>
      </c>
      <c r="Y71" s="835"/>
    </row>
    <row r="72" spans="1:25" ht="14.4" customHeight="1" x14ac:dyDescent="0.3">
      <c r="A72" s="801" t="s">
        <v>4074</v>
      </c>
      <c r="B72" s="774">
        <v>1</v>
      </c>
      <c r="C72" s="775">
        <v>3.04</v>
      </c>
      <c r="D72" s="776">
        <v>7</v>
      </c>
      <c r="E72" s="786"/>
      <c r="F72" s="769"/>
      <c r="G72" s="770"/>
      <c r="H72" s="768"/>
      <c r="I72" s="769"/>
      <c r="J72" s="770"/>
      <c r="K72" s="771">
        <v>2.17</v>
      </c>
      <c r="L72" s="768">
        <v>4</v>
      </c>
      <c r="M72" s="768">
        <v>39</v>
      </c>
      <c r="N72" s="772">
        <v>13</v>
      </c>
      <c r="O72" s="768" t="s">
        <v>3947</v>
      </c>
      <c r="P72" s="785" t="s">
        <v>4075</v>
      </c>
      <c r="Q72" s="773">
        <f t="shared" si="3"/>
        <v>-1</v>
      </c>
      <c r="R72" s="832">
        <f t="shared" si="3"/>
        <v>-3.04</v>
      </c>
      <c r="S72" s="773">
        <f t="shared" si="4"/>
        <v>0</v>
      </c>
      <c r="T72" s="832">
        <f t="shared" si="5"/>
        <v>0</v>
      </c>
      <c r="U72" s="839" t="s">
        <v>507</v>
      </c>
      <c r="V72" s="782" t="s">
        <v>507</v>
      </c>
      <c r="W72" s="782" t="s">
        <v>507</v>
      </c>
      <c r="X72" s="837" t="s">
        <v>507</v>
      </c>
      <c r="Y72" s="835"/>
    </row>
    <row r="73" spans="1:25" ht="14.4" customHeight="1" x14ac:dyDescent="0.3">
      <c r="A73" s="801" t="s">
        <v>4076</v>
      </c>
      <c r="B73" s="782"/>
      <c r="C73" s="783"/>
      <c r="D73" s="784"/>
      <c r="E73" s="786"/>
      <c r="F73" s="769"/>
      <c r="G73" s="770"/>
      <c r="H73" s="765">
        <v>1</v>
      </c>
      <c r="I73" s="766">
        <v>3.05</v>
      </c>
      <c r="J73" s="767">
        <v>14</v>
      </c>
      <c r="K73" s="771">
        <v>3</v>
      </c>
      <c r="L73" s="768">
        <v>6</v>
      </c>
      <c r="M73" s="768">
        <v>54</v>
      </c>
      <c r="N73" s="772">
        <v>18</v>
      </c>
      <c r="O73" s="768" t="s">
        <v>3947</v>
      </c>
      <c r="P73" s="785" t="s">
        <v>4077</v>
      </c>
      <c r="Q73" s="773">
        <f t="shared" si="3"/>
        <v>1</v>
      </c>
      <c r="R73" s="832">
        <f t="shared" si="3"/>
        <v>3.05</v>
      </c>
      <c r="S73" s="773">
        <f t="shared" si="4"/>
        <v>1</v>
      </c>
      <c r="T73" s="832">
        <f t="shared" si="5"/>
        <v>3.05</v>
      </c>
      <c r="U73" s="839">
        <v>18</v>
      </c>
      <c r="V73" s="782">
        <v>14</v>
      </c>
      <c r="W73" s="782">
        <v>-4</v>
      </c>
      <c r="X73" s="837">
        <v>0.77777777777777779</v>
      </c>
      <c r="Y73" s="835"/>
    </row>
    <row r="74" spans="1:25" ht="14.4" customHeight="1" x14ac:dyDescent="0.3">
      <c r="A74" s="802" t="s">
        <v>4078</v>
      </c>
      <c r="B74" s="797">
        <v>1</v>
      </c>
      <c r="C74" s="798">
        <v>3.61</v>
      </c>
      <c r="D74" s="787">
        <v>4</v>
      </c>
      <c r="E74" s="790">
        <v>1</v>
      </c>
      <c r="F74" s="791">
        <v>9.81</v>
      </c>
      <c r="G74" s="778">
        <v>22</v>
      </c>
      <c r="H74" s="799">
        <v>2</v>
      </c>
      <c r="I74" s="800">
        <v>6.47</v>
      </c>
      <c r="J74" s="780">
        <v>3.5</v>
      </c>
      <c r="K74" s="793">
        <v>5.89</v>
      </c>
      <c r="L74" s="792">
        <v>7</v>
      </c>
      <c r="M74" s="792">
        <v>66</v>
      </c>
      <c r="N74" s="794">
        <v>22</v>
      </c>
      <c r="O74" s="792" t="s">
        <v>3947</v>
      </c>
      <c r="P74" s="795" t="s">
        <v>4079</v>
      </c>
      <c r="Q74" s="796">
        <f t="shared" si="3"/>
        <v>1</v>
      </c>
      <c r="R74" s="833">
        <f t="shared" si="3"/>
        <v>2.86</v>
      </c>
      <c r="S74" s="796">
        <f t="shared" si="4"/>
        <v>1</v>
      </c>
      <c r="T74" s="833">
        <f t="shared" si="5"/>
        <v>-3.3400000000000007</v>
      </c>
      <c r="U74" s="840">
        <v>44</v>
      </c>
      <c r="V74" s="797">
        <v>7</v>
      </c>
      <c r="W74" s="797">
        <v>-37</v>
      </c>
      <c r="X74" s="838">
        <v>0.15909090909090909</v>
      </c>
      <c r="Y74" s="836"/>
    </row>
    <row r="75" spans="1:25" ht="14.4" customHeight="1" x14ac:dyDescent="0.3">
      <c r="A75" s="801" t="s">
        <v>4080</v>
      </c>
      <c r="B75" s="782"/>
      <c r="C75" s="783"/>
      <c r="D75" s="784"/>
      <c r="E75" s="786">
        <v>1</v>
      </c>
      <c r="F75" s="769">
        <v>0.64</v>
      </c>
      <c r="G75" s="770">
        <v>2</v>
      </c>
      <c r="H75" s="765"/>
      <c r="I75" s="766"/>
      <c r="J75" s="767"/>
      <c r="K75" s="771">
        <v>0.93</v>
      </c>
      <c r="L75" s="768">
        <v>3</v>
      </c>
      <c r="M75" s="768">
        <v>27</v>
      </c>
      <c r="N75" s="772">
        <v>9</v>
      </c>
      <c r="O75" s="768" t="s">
        <v>3947</v>
      </c>
      <c r="P75" s="785" t="s">
        <v>4081</v>
      </c>
      <c r="Q75" s="773">
        <f t="shared" si="3"/>
        <v>0</v>
      </c>
      <c r="R75" s="832">
        <f t="shared" si="3"/>
        <v>0</v>
      </c>
      <c r="S75" s="773">
        <f t="shared" si="4"/>
        <v>-1</v>
      </c>
      <c r="T75" s="832">
        <f t="shared" si="5"/>
        <v>-0.64</v>
      </c>
      <c r="U75" s="839" t="s">
        <v>507</v>
      </c>
      <c r="V75" s="782" t="s">
        <v>507</v>
      </c>
      <c r="W75" s="782" t="s">
        <v>507</v>
      </c>
      <c r="X75" s="837" t="s">
        <v>507</v>
      </c>
      <c r="Y75" s="835"/>
    </row>
    <row r="76" spans="1:25" ht="14.4" customHeight="1" x14ac:dyDescent="0.3">
      <c r="A76" s="802" t="s">
        <v>4082</v>
      </c>
      <c r="B76" s="797">
        <v>1</v>
      </c>
      <c r="C76" s="798">
        <v>1.37</v>
      </c>
      <c r="D76" s="787">
        <v>6</v>
      </c>
      <c r="E76" s="790"/>
      <c r="F76" s="791"/>
      <c r="G76" s="778"/>
      <c r="H76" s="799">
        <v>1</v>
      </c>
      <c r="I76" s="800">
        <v>1.52</v>
      </c>
      <c r="J76" s="780">
        <v>4</v>
      </c>
      <c r="K76" s="793">
        <v>1.1100000000000001</v>
      </c>
      <c r="L76" s="792">
        <v>4</v>
      </c>
      <c r="M76" s="792">
        <v>33</v>
      </c>
      <c r="N76" s="794">
        <v>11</v>
      </c>
      <c r="O76" s="792" t="s">
        <v>3947</v>
      </c>
      <c r="P76" s="795" t="s">
        <v>4083</v>
      </c>
      <c r="Q76" s="796">
        <f t="shared" si="3"/>
        <v>0</v>
      </c>
      <c r="R76" s="833">
        <f t="shared" si="3"/>
        <v>0.14999999999999991</v>
      </c>
      <c r="S76" s="796">
        <f t="shared" si="4"/>
        <v>1</v>
      </c>
      <c r="T76" s="833">
        <f t="shared" si="5"/>
        <v>1.52</v>
      </c>
      <c r="U76" s="840">
        <v>11</v>
      </c>
      <c r="V76" s="797">
        <v>4</v>
      </c>
      <c r="W76" s="797">
        <v>-7</v>
      </c>
      <c r="X76" s="838">
        <v>0.36363636363636365</v>
      </c>
      <c r="Y76" s="836"/>
    </row>
    <row r="77" spans="1:25" ht="14.4" customHeight="1" x14ac:dyDescent="0.3">
      <c r="A77" s="802" t="s">
        <v>4084</v>
      </c>
      <c r="B77" s="797">
        <v>1</v>
      </c>
      <c r="C77" s="798">
        <v>0.64</v>
      </c>
      <c r="D77" s="787">
        <v>1</v>
      </c>
      <c r="E77" s="790">
        <v>1</v>
      </c>
      <c r="F77" s="791">
        <v>1.1000000000000001</v>
      </c>
      <c r="G77" s="778">
        <v>2</v>
      </c>
      <c r="H77" s="799">
        <v>1</v>
      </c>
      <c r="I77" s="800">
        <v>1.1000000000000001</v>
      </c>
      <c r="J77" s="780">
        <v>2</v>
      </c>
      <c r="K77" s="793">
        <v>2.02</v>
      </c>
      <c r="L77" s="792">
        <v>4</v>
      </c>
      <c r="M77" s="792">
        <v>39</v>
      </c>
      <c r="N77" s="794">
        <v>13</v>
      </c>
      <c r="O77" s="792" t="s">
        <v>3947</v>
      </c>
      <c r="P77" s="795" t="s">
        <v>4085</v>
      </c>
      <c r="Q77" s="796">
        <f t="shared" si="3"/>
        <v>0</v>
      </c>
      <c r="R77" s="833">
        <f t="shared" si="3"/>
        <v>0.46000000000000008</v>
      </c>
      <c r="S77" s="796">
        <f t="shared" si="4"/>
        <v>0</v>
      </c>
      <c r="T77" s="833">
        <f t="shared" si="5"/>
        <v>0</v>
      </c>
      <c r="U77" s="840">
        <v>13</v>
      </c>
      <c r="V77" s="797">
        <v>2</v>
      </c>
      <c r="W77" s="797">
        <v>-11</v>
      </c>
      <c r="X77" s="838">
        <v>0.15384615384615385</v>
      </c>
      <c r="Y77" s="836"/>
    </row>
    <row r="78" spans="1:25" ht="14.4" customHeight="1" x14ac:dyDescent="0.3">
      <c r="A78" s="801" t="s">
        <v>4086</v>
      </c>
      <c r="B78" s="782"/>
      <c r="C78" s="783"/>
      <c r="D78" s="784"/>
      <c r="E78" s="786"/>
      <c r="F78" s="769"/>
      <c r="G78" s="770"/>
      <c r="H78" s="765">
        <v>1</v>
      </c>
      <c r="I78" s="766">
        <v>3.32</v>
      </c>
      <c r="J78" s="767">
        <v>6</v>
      </c>
      <c r="K78" s="771">
        <v>2.36</v>
      </c>
      <c r="L78" s="768">
        <v>4</v>
      </c>
      <c r="M78" s="768">
        <v>39</v>
      </c>
      <c r="N78" s="772">
        <v>13</v>
      </c>
      <c r="O78" s="768" t="s">
        <v>3947</v>
      </c>
      <c r="P78" s="785" t="s">
        <v>4087</v>
      </c>
      <c r="Q78" s="773">
        <f t="shared" si="3"/>
        <v>1</v>
      </c>
      <c r="R78" s="832">
        <f t="shared" si="3"/>
        <v>3.32</v>
      </c>
      <c r="S78" s="773">
        <f t="shared" si="4"/>
        <v>1</v>
      </c>
      <c r="T78" s="832">
        <f t="shared" si="5"/>
        <v>3.32</v>
      </c>
      <c r="U78" s="839">
        <v>13</v>
      </c>
      <c r="V78" s="782">
        <v>6</v>
      </c>
      <c r="W78" s="782">
        <v>-7</v>
      </c>
      <c r="X78" s="837">
        <v>0.46153846153846156</v>
      </c>
      <c r="Y78" s="835"/>
    </row>
    <row r="79" spans="1:25" ht="14.4" customHeight="1" x14ac:dyDescent="0.3">
      <c r="A79" s="802" t="s">
        <v>4088</v>
      </c>
      <c r="B79" s="797"/>
      <c r="C79" s="798"/>
      <c r="D79" s="787"/>
      <c r="E79" s="790"/>
      <c r="F79" s="791"/>
      <c r="G79" s="778"/>
      <c r="H79" s="799">
        <v>1</v>
      </c>
      <c r="I79" s="800">
        <v>4.8499999999999996</v>
      </c>
      <c r="J79" s="781">
        <v>25</v>
      </c>
      <c r="K79" s="793">
        <v>4.8499999999999996</v>
      </c>
      <c r="L79" s="792">
        <v>5</v>
      </c>
      <c r="M79" s="792">
        <v>48</v>
      </c>
      <c r="N79" s="794">
        <v>16</v>
      </c>
      <c r="O79" s="792" t="s">
        <v>3947</v>
      </c>
      <c r="P79" s="795" t="s">
        <v>4089</v>
      </c>
      <c r="Q79" s="796">
        <f t="shared" si="3"/>
        <v>1</v>
      </c>
      <c r="R79" s="833">
        <f t="shared" si="3"/>
        <v>4.8499999999999996</v>
      </c>
      <c r="S79" s="796">
        <f t="shared" si="4"/>
        <v>1</v>
      </c>
      <c r="T79" s="833">
        <f t="shared" si="5"/>
        <v>4.8499999999999996</v>
      </c>
      <c r="U79" s="840">
        <v>16</v>
      </c>
      <c r="V79" s="797">
        <v>25</v>
      </c>
      <c r="W79" s="797">
        <v>9</v>
      </c>
      <c r="X79" s="838">
        <v>1.5625</v>
      </c>
      <c r="Y79" s="836">
        <v>9</v>
      </c>
    </row>
    <row r="80" spans="1:25" ht="14.4" customHeight="1" x14ac:dyDescent="0.3">
      <c r="A80" s="801" t="s">
        <v>4090</v>
      </c>
      <c r="B80" s="782">
        <v>1</v>
      </c>
      <c r="C80" s="783">
        <v>0.7</v>
      </c>
      <c r="D80" s="784">
        <v>3</v>
      </c>
      <c r="E80" s="786"/>
      <c r="F80" s="769"/>
      <c r="G80" s="770"/>
      <c r="H80" s="765">
        <v>1</v>
      </c>
      <c r="I80" s="766">
        <v>0.7</v>
      </c>
      <c r="J80" s="767">
        <v>2</v>
      </c>
      <c r="K80" s="771">
        <v>0.7</v>
      </c>
      <c r="L80" s="768">
        <v>2</v>
      </c>
      <c r="M80" s="768">
        <v>15</v>
      </c>
      <c r="N80" s="772">
        <v>5</v>
      </c>
      <c r="O80" s="768" t="s">
        <v>3947</v>
      </c>
      <c r="P80" s="785" t="s">
        <v>4091</v>
      </c>
      <c r="Q80" s="773">
        <f t="shared" si="3"/>
        <v>0</v>
      </c>
      <c r="R80" s="832">
        <f t="shared" si="3"/>
        <v>0</v>
      </c>
      <c r="S80" s="773">
        <f t="shared" si="4"/>
        <v>1</v>
      </c>
      <c r="T80" s="832">
        <f t="shared" si="5"/>
        <v>0.7</v>
      </c>
      <c r="U80" s="839">
        <v>5</v>
      </c>
      <c r="V80" s="782">
        <v>2</v>
      </c>
      <c r="W80" s="782">
        <v>-3</v>
      </c>
      <c r="X80" s="837">
        <v>0.4</v>
      </c>
      <c r="Y80" s="835"/>
    </row>
    <row r="81" spans="1:25" ht="14.4" customHeight="1" x14ac:dyDescent="0.3">
      <c r="A81" s="802" t="s">
        <v>4092</v>
      </c>
      <c r="B81" s="797">
        <v>1</v>
      </c>
      <c r="C81" s="798">
        <v>1.88</v>
      </c>
      <c r="D81" s="787">
        <v>1</v>
      </c>
      <c r="E81" s="790"/>
      <c r="F81" s="791"/>
      <c r="G81" s="778"/>
      <c r="H81" s="799">
        <v>1</v>
      </c>
      <c r="I81" s="800">
        <v>3.18</v>
      </c>
      <c r="J81" s="780">
        <v>10</v>
      </c>
      <c r="K81" s="793">
        <v>3.18</v>
      </c>
      <c r="L81" s="792">
        <v>4</v>
      </c>
      <c r="M81" s="792">
        <v>33</v>
      </c>
      <c r="N81" s="794">
        <v>11</v>
      </c>
      <c r="O81" s="792" t="s">
        <v>3947</v>
      </c>
      <c r="P81" s="795" t="s">
        <v>4093</v>
      </c>
      <c r="Q81" s="796">
        <f t="shared" si="3"/>
        <v>0</v>
      </c>
      <c r="R81" s="833">
        <f t="shared" si="3"/>
        <v>1.3000000000000003</v>
      </c>
      <c r="S81" s="796">
        <f t="shared" si="4"/>
        <v>1</v>
      </c>
      <c r="T81" s="833">
        <f t="shared" si="5"/>
        <v>3.18</v>
      </c>
      <c r="U81" s="840">
        <v>11</v>
      </c>
      <c r="V81" s="797">
        <v>10</v>
      </c>
      <c r="W81" s="797">
        <v>-1</v>
      </c>
      <c r="X81" s="838">
        <v>0.90909090909090906</v>
      </c>
      <c r="Y81" s="836"/>
    </row>
    <row r="82" spans="1:25" ht="14.4" customHeight="1" x14ac:dyDescent="0.3">
      <c r="A82" s="801" t="s">
        <v>4094</v>
      </c>
      <c r="B82" s="774">
        <v>1</v>
      </c>
      <c r="C82" s="775">
        <v>0.32</v>
      </c>
      <c r="D82" s="776">
        <v>1</v>
      </c>
      <c r="E82" s="786"/>
      <c r="F82" s="769"/>
      <c r="G82" s="770"/>
      <c r="H82" s="768"/>
      <c r="I82" s="769"/>
      <c r="J82" s="770"/>
      <c r="K82" s="771">
        <v>0.85</v>
      </c>
      <c r="L82" s="768">
        <v>3</v>
      </c>
      <c r="M82" s="768">
        <v>24</v>
      </c>
      <c r="N82" s="772">
        <v>8</v>
      </c>
      <c r="O82" s="768" t="s">
        <v>3947</v>
      </c>
      <c r="P82" s="785" t="s">
        <v>4095</v>
      </c>
      <c r="Q82" s="773">
        <f t="shared" si="3"/>
        <v>-1</v>
      </c>
      <c r="R82" s="832">
        <f t="shared" si="3"/>
        <v>-0.32</v>
      </c>
      <c r="S82" s="773">
        <f t="shared" si="4"/>
        <v>0</v>
      </c>
      <c r="T82" s="832">
        <f t="shared" si="5"/>
        <v>0</v>
      </c>
      <c r="U82" s="839" t="s">
        <v>507</v>
      </c>
      <c r="V82" s="782" t="s">
        <v>507</v>
      </c>
      <c r="W82" s="782" t="s">
        <v>507</v>
      </c>
      <c r="X82" s="837" t="s">
        <v>507</v>
      </c>
      <c r="Y82" s="835"/>
    </row>
    <row r="83" spans="1:25" ht="14.4" customHeight="1" x14ac:dyDescent="0.3">
      <c r="A83" s="801" t="s">
        <v>4096</v>
      </c>
      <c r="B83" s="782"/>
      <c r="C83" s="783"/>
      <c r="D83" s="784"/>
      <c r="E83" s="765">
        <v>1</v>
      </c>
      <c r="F83" s="766">
        <v>6.6</v>
      </c>
      <c r="G83" s="767">
        <v>20</v>
      </c>
      <c r="H83" s="768"/>
      <c r="I83" s="769"/>
      <c r="J83" s="770"/>
      <c r="K83" s="771">
        <v>6.6</v>
      </c>
      <c r="L83" s="768">
        <v>6</v>
      </c>
      <c r="M83" s="768">
        <v>51</v>
      </c>
      <c r="N83" s="772">
        <v>17</v>
      </c>
      <c r="O83" s="768" t="s">
        <v>3947</v>
      </c>
      <c r="P83" s="785" t="s">
        <v>4097</v>
      </c>
      <c r="Q83" s="773">
        <f t="shared" si="3"/>
        <v>0</v>
      </c>
      <c r="R83" s="832">
        <f t="shared" si="3"/>
        <v>0</v>
      </c>
      <c r="S83" s="773">
        <f t="shared" si="4"/>
        <v>-1</v>
      </c>
      <c r="T83" s="832">
        <f t="shared" si="5"/>
        <v>-6.6</v>
      </c>
      <c r="U83" s="839" t="s">
        <v>507</v>
      </c>
      <c r="V83" s="782" t="s">
        <v>507</v>
      </c>
      <c r="W83" s="782" t="s">
        <v>507</v>
      </c>
      <c r="X83" s="837" t="s">
        <v>507</v>
      </c>
      <c r="Y83" s="835"/>
    </row>
    <row r="84" spans="1:25" ht="14.4" customHeight="1" x14ac:dyDescent="0.3">
      <c r="A84" s="801" t="s">
        <v>4098</v>
      </c>
      <c r="B84" s="782"/>
      <c r="C84" s="783"/>
      <c r="D84" s="784"/>
      <c r="E84" s="765">
        <v>1</v>
      </c>
      <c r="F84" s="766">
        <v>37.340000000000003</v>
      </c>
      <c r="G84" s="767">
        <v>38</v>
      </c>
      <c r="H84" s="768"/>
      <c r="I84" s="769"/>
      <c r="J84" s="770"/>
      <c r="K84" s="771">
        <v>37.340000000000003</v>
      </c>
      <c r="L84" s="768">
        <v>22</v>
      </c>
      <c r="M84" s="768">
        <v>132</v>
      </c>
      <c r="N84" s="772">
        <v>44</v>
      </c>
      <c r="O84" s="768" t="s">
        <v>3947</v>
      </c>
      <c r="P84" s="785" t="s">
        <v>4099</v>
      </c>
      <c r="Q84" s="773">
        <f t="shared" si="3"/>
        <v>0</v>
      </c>
      <c r="R84" s="832">
        <f t="shared" si="3"/>
        <v>0</v>
      </c>
      <c r="S84" s="773">
        <f t="shared" si="4"/>
        <v>-1</v>
      </c>
      <c r="T84" s="832">
        <f t="shared" si="5"/>
        <v>-37.340000000000003</v>
      </c>
      <c r="U84" s="839" t="s">
        <v>507</v>
      </c>
      <c r="V84" s="782" t="s">
        <v>507</v>
      </c>
      <c r="W84" s="782" t="s">
        <v>507</v>
      </c>
      <c r="X84" s="837" t="s">
        <v>507</v>
      </c>
      <c r="Y84" s="835"/>
    </row>
    <row r="85" spans="1:25" ht="14.4" customHeight="1" x14ac:dyDescent="0.3">
      <c r="A85" s="801" t="s">
        <v>4100</v>
      </c>
      <c r="B85" s="782"/>
      <c r="C85" s="783"/>
      <c r="D85" s="784"/>
      <c r="E85" s="786"/>
      <c r="F85" s="769"/>
      <c r="G85" s="770"/>
      <c r="H85" s="765">
        <v>1</v>
      </c>
      <c r="I85" s="766">
        <v>23.68</v>
      </c>
      <c r="J85" s="767">
        <v>25</v>
      </c>
      <c r="K85" s="771">
        <v>23.68</v>
      </c>
      <c r="L85" s="768">
        <v>11</v>
      </c>
      <c r="M85" s="768">
        <v>87</v>
      </c>
      <c r="N85" s="772">
        <v>29</v>
      </c>
      <c r="O85" s="768" t="s">
        <v>3947</v>
      </c>
      <c r="P85" s="785" t="s">
        <v>4101</v>
      </c>
      <c r="Q85" s="773">
        <f t="shared" si="3"/>
        <v>1</v>
      </c>
      <c r="R85" s="832">
        <f t="shared" si="3"/>
        <v>23.68</v>
      </c>
      <c r="S85" s="773">
        <f t="shared" si="4"/>
        <v>1</v>
      </c>
      <c r="T85" s="832">
        <f t="shared" si="5"/>
        <v>23.68</v>
      </c>
      <c r="U85" s="839">
        <v>29</v>
      </c>
      <c r="V85" s="782">
        <v>25</v>
      </c>
      <c r="W85" s="782">
        <v>-4</v>
      </c>
      <c r="X85" s="837">
        <v>0.86206896551724133</v>
      </c>
      <c r="Y85" s="835"/>
    </row>
    <row r="86" spans="1:25" ht="14.4" customHeight="1" x14ac:dyDescent="0.3">
      <c r="A86" s="801" t="s">
        <v>4102</v>
      </c>
      <c r="B86" s="782"/>
      <c r="C86" s="783"/>
      <c r="D86" s="784"/>
      <c r="E86" s="765">
        <v>1</v>
      </c>
      <c r="F86" s="766">
        <v>16.940000000000001</v>
      </c>
      <c r="G86" s="767">
        <v>13</v>
      </c>
      <c r="H86" s="768"/>
      <c r="I86" s="769"/>
      <c r="J86" s="770"/>
      <c r="K86" s="771">
        <v>16.940000000000001</v>
      </c>
      <c r="L86" s="768">
        <v>5</v>
      </c>
      <c r="M86" s="768">
        <v>72</v>
      </c>
      <c r="N86" s="772">
        <v>24</v>
      </c>
      <c r="O86" s="768" t="s">
        <v>3947</v>
      </c>
      <c r="P86" s="785" t="s">
        <v>4103</v>
      </c>
      <c r="Q86" s="773">
        <f t="shared" si="3"/>
        <v>0</v>
      </c>
      <c r="R86" s="832">
        <f t="shared" si="3"/>
        <v>0</v>
      </c>
      <c r="S86" s="773">
        <f t="shared" si="4"/>
        <v>-1</v>
      </c>
      <c r="T86" s="832">
        <f t="shared" si="5"/>
        <v>-16.940000000000001</v>
      </c>
      <c r="U86" s="839" t="s">
        <v>507</v>
      </c>
      <c r="V86" s="782" t="s">
        <v>507</v>
      </c>
      <c r="W86" s="782" t="s">
        <v>507</v>
      </c>
      <c r="X86" s="837" t="s">
        <v>507</v>
      </c>
      <c r="Y86" s="835"/>
    </row>
    <row r="87" spans="1:25" ht="14.4" customHeight="1" x14ac:dyDescent="0.3">
      <c r="A87" s="801" t="s">
        <v>4104</v>
      </c>
      <c r="B87" s="774">
        <v>1</v>
      </c>
      <c r="C87" s="775">
        <v>5.27</v>
      </c>
      <c r="D87" s="776">
        <v>6</v>
      </c>
      <c r="E87" s="786"/>
      <c r="F87" s="769"/>
      <c r="G87" s="770"/>
      <c r="H87" s="768"/>
      <c r="I87" s="769"/>
      <c r="J87" s="770"/>
      <c r="K87" s="771">
        <v>1.62</v>
      </c>
      <c r="L87" s="768">
        <v>4</v>
      </c>
      <c r="M87" s="768">
        <v>36</v>
      </c>
      <c r="N87" s="772">
        <v>12</v>
      </c>
      <c r="O87" s="768" t="s">
        <v>3947</v>
      </c>
      <c r="P87" s="785" t="s">
        <v>4105</v>
      </c>
      <c r="Q87" s="773">
        <f t="shared" si="3"/>
        <v>-1</v>
      </c>
      <c r="R87" s="832">
        <f t="shared" si="3"/>
        <v>-5.27</v>
      </c>
      <c r="S87" s="773">
        <f t="shared" si="4"/>
        <v>0</v>
      </c>
      <c r="T87" s="832">
        <f t="shared" si="5"/>
        <v>0</v>
      </c>
      <c r="U87" s="839" t="s">
        <v>507</v>
      </c>
      <c r="V87" s="782" t="s">
        <v>507</v>
      </c>
      <c r="W87" s="782" t="s">
        <v>507</v>
      </c>
      <c r="X87" s="837" t="s">
        <v>507</v>
      </c>
      <c r="Y87" s="835"/>
    </row>
    <row r="88" spans="1:25" ht="14.4" customHeight="1" x14ac:dyDescent="0.3">
      <c r="A88" s="801" t="s">
        <v>4106</v>
      </c>
      <c r="B88" s="782"/>
      <c r="C88" s="783"/>
      <c r="D88" s="784"/>
      <c r="E88" s="765">
        <v>1</v>
      </c>
      <c r="F88" s="766">
        <v>9.51</v>
      </c>
      <c r="G88" s="767">
        <v>11</v>
      </c>
      <c r="H88" s="768"/>
      <c r="I88" s="769"/>
      <c r="J88" s="770"/>
      <c r="K88" s="771">
        <v>9.25</v>
      </c>
      <c r="L88" s="768">
        <v>5</v>
      </c>
      <c r="M88" s="768">
        <v>48</v>
      </c>
      <c r="N88" s="772">
        <v>16</v>
      </c>
      <c r="O88" s="768" t="s">
        <v>3947</v>
      </c>
      <c r="P88" s="785" t="s">
        <v>4103</v>
      </c>
      <c r="Q88" s="773">
        <f t="shared" si="3"/>
        <v>0</v>
      </c>
      <c r="R88" s="832">
        <f t="shared" si="3"/>
        <v>0</v>
      </c>
      <c r="S88" s="773">
        <f t="shared" si="4"/>
        <v>-1</v>
      </c>
      <c r="T88" s="832">
        <f t="shared" si="5"/>
        <v>-9.51</v>
      </c>
      <c r="U88" s="839" t="s">
        <v>507</v>
      </c>
      <c r="V88" s="782" t="s">
        <v>507</v>
      </c>
      <c r="W88" s="782" t="s">
        <v>507</v>
      </c>
      <c r="X88" s="837" t="s">
        <v>507</v>
      </c>
      <c r="Y88" s="835"/>
    </row>
    <row r="89" spans="1:25" ht="14.4" customHeight="1" x14ac:dyDescent="0.3">
      <c r="A89" s="801" t="s">
        <v>4107</v>
      </c>
      <c r="B89" s="774">
        <v>2</v>
      </c>
      <c r="C89" s="775">
        <v>9.44</v>
      </c>
      <c r="D89" s="776">
        <v>2.5</v>
      </c>
      <c r="E89" s="786">
        <v>1</v>
      </c>
      <c r="F89" s="769">
        <v>3.18</v>
      </c>
      <c r="G89" s="770">
        <v>3</v>
      </c>
      <c r="H89" s="768"/>
      <c r="I89" s="769"/>
      <c r="J89" s="770"/>
      <c r="K89" s="771">
        <v>3.18</v>
      </c>
      <c r="L89" s="768">
        <v>1</v>
      </c>
      <c r="M89" s="768">
        <v>5</v>
      </c>
      <c r="N89" s="772">
        <v>2</v>
      </c>
      <c r="O89" s="768" t="s">
        <v>3947</v>
      </c>
      <c r="P89" s="785" t="s">
        <v>4108</v>
      </c>
      <c r="Q89" s="773">
        <f t="shared" si="3"/>
        <v>-2</v>
      </c>
      <c r="R89" s="832">
        <f t="shared" si="3"/>
        <v>-9.44</v>
      </c>
      <c r="S89" s="773">
        <f t="shared" si="4"/>
        <v>-1</v>
      </c>
      <c r="T89" s="832">
        <f t="shared" si="5"/>
        <v>-3.18</v>
      </c>
      <c r="U89" s="839" t="s">
        <v>507</v>
      </c>
      <c r="V89" s="782" t="s">
        <v>507</v>
      </c>
      <c r="W89" s="782" t="s">
        <v>507</v>
      </c>
      <c r="X89" s="837" t="s">
        <v>507</v>
      </c>
      <c r="Y89" s="835"/>
    </row>
    <row r="90" spans="1:25" ht="14.4" customHeight="1" x14ac:dyDescent="0.3">
      <c r="A90" s="801" t="s">
        <v>4109</v>
      </c>
      <c r="B90" s="782"/>
      <c r="C90" s="783"/>
      <c r="D90" s="784"/>
      <c r="E90" s="765">
        <v>3</v>
      </c>
      <c r="F90" s="766">
        <v>10.65</v>
      </c>
      <c r="G90" s="767">
        <v>12.3</v>
      </c>
      <c r="H90" s="768">
        <v>2</v>
      </c>
      <c r="I90" s="769">
        <v>4.62</v>
      </c>
      <c r="J90" s="770">
        <v>13</v>
      </c>
      <c r="K90" s="771">
        <v>2.2599999999999998</v>
      </c>
      <c r="L90" s="768">
        <v>4</v>
      </c>
      <c r="M90" s="768">
        <v>39</v>
      </c>
      <c r="N90" s="772">
        <v>13</v>
      </c>
      <c r="O90" s="768" t="s">
        <v>3947</v>
      </c>
      <c r="P90" s="785" t="s">
        <v>4110</v>
      </c>
      <c r="Q90" s="773">
        <f t="shared" si="3"/>
        <v>2</v>
      </c>
      <c r="R90" s="832">
        <f t="shared" si="3"/>
        <v>4.62</v>
      </c>
      <c r="S90" s="773">
        <f t="shared" si="4"/>
        <v>-1</v>
      </c>
      <c r="T90" s="832">
        <f t="shared" si="5"/>
        <v>-6.03</v>
      </c>
      <c r="U90" s="839">
        <v>26</v>
      </c>
      <c r="V90" s="782">
        <v>26</v>
      </c>
      <c r="W90" s="782">
        <v>0</v>
      </c>
      <c r="X90" s="837">
        <v>1</v>
      </c>
      <c r="Y90" s="835">
        <v>5</v>
      </c>
    </row>
    <row r="91" spans="1:25" ht="14.4" customHeight="1" thickBot="1" x14ac:dyDescent="0.35">
      <c r="A91" s="817" t="s">
        <v>4111</v>
      </c>
      <c r="B91" s="818">
        <v>1</v>
      </c>
      <c r="C91" s="819">
        <v>1.87</v>
      </c>
      <c r="D91" s="820">
        <v>2</v>
      </c>
      <c r="E91" s="821">
        <v>2</v>
      </c>
      <c r="F91" s="822">
        <v>20.64</v>
      </c>
      <c r="G91" s="823">
        <v>17</v>
      </c>
      <c r="H91" s="824">
        <v>1</v>
      </c>
      <c r="I91" s="825">
        <v>4.45</v>
      </c>
      <c r="J91" s="826">
        <v>16</v>
      </c>
      <c r="K91" s="827">
        <v>4.42</v>
      </c>
      <c r="L91" s="824">
        <v>6</v>
      </c>
      <c r="M91" s="824">
        <v>57</v>
      </c>
      <c r="N91" s="828">
        <v>19</v>
      </c>
      <c r="O91" s="824" t="s">
        <v>3947</v>
      </c>
      <c r="P91" s="829" t="s">
        <v>4112</v>
      </c>
      <c r="Q91" s="830">
        <f t="shared" si="3"/>
        <v>0</v>
      </c>
      <c r="R91" s="834">
        <f t="shared" si="3"/>
        <v>2.58</v>
      </c>
      <c r="S91" s="830">
        <f t="shared" si="4"/>
        <v>-1</v>
      </c>
      <c r="T91" s="834">
        <f t="shared" si="5"/>
        <v>-16.190000000000001</v>
      </c>
      <c r="U91" s="844">
        <v>19</v>
      </c>
      <c r="V91" s="818">
        <v>16</v>
      </c>
      <c r="W91" s="818">
        <v>-3</v>
      </c>
      <c r="X91" s="845">
        <v>0.84210526315789469</v>
      </c>
      <c r="Y91" s="846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92:Q1048576">
    <cfRule type="cellIs" dxfId="14" priority="11" stopIfTrue="1" operator="lessThan">
      <formula>0</formula>
    </cfRule>
  </conditionalFormatting>
  <conditionalFormatting sqref="W92:W1048576">
    <cfRule type="cellIs" dxfId="13" priority="10" stopIfTrue="1" operator="greaterThan">
      <formula>0</formula>
    </cfRule>
  </conditionalFormatting>
  <conditionalFormatting sqref="X92:X1048576">
    <cfRule type="cellIs" dxfId="12" priority="9" stopIfTrue="1" operator="greaterThan">
      <formula>1</formula>
    </cfRule>
  </conditionalFormatting>
  <conditionalFormatting sqref="X92:X1048576">
    <cfRule type="cellIs" dxfId="11" priority="6" stopIfTrue="1" operator="greaterThan">
      <formula>1</formula>
    </cfRule>
  </conditionalFormatting>
  <conditionalFormatting sqref="W92:W1048576">
    <cfRule type="cellIs" dxfId="10" priority="7" stopIfTrue="1" operator="greaterThan">
      <formula>0</formula>
    </cfRule>
  </conditionalFormatting>
  <conditionalFormatting sqref="Q92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91">
    <cfRule type="cellIs" dxfId="7" priority="4" stopIfTrue="1" operator="lessThan">
      <formula>0</formula>
    </cfRule>
  </conditionalFormatting>
  <conditionalFormatting sqref="X5:X91">
    <cfRule type="cellIs" dxfId="6" priority="2" stopIfTrue="1" operator="greaterThan">
      <formula>1</formula>
    </cfRule>
  </conditionalFormatting>
  <conditionalFormatting sqref="W5:W91">
    <cfRule type="cellIs" dxfId="5" priority="3" stopIfTrue="1" operator="greaterThan">
      <formula>0</formula>
    </cfRule>
  </conditionalFormatting>
  <conditionalFormatting sqref="S5:S91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31" customWidth="1" collapsed="1"/>
    <col min="2" max="2" width="7.77734375" style="199" hidden="1" customWidth="1" outlineLevel="1"/>
    <col min="3" max="3" width="7.21875" style="231" hidden="1" customWidth="1"/>
    <col min="4" max="4" width="7.77734375" style="199" customWidth="1"/>
    <col min="5" max="5" width="7.2187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7.21875" style="231" hidden="1" customWidth="1"/>
    <col min="10" max="10" width="7.77734375" style="199" customWidth="1"/>
    <col min="11" max="11" width="7.21875" style="231" hidden="1" customWidth="1"/>
    <col min="12" max="12" width="7.77734375" style="199" customWidth="1"/>
    <col min="13" max="13" width="7.77734375" style="313" customWidth="1"/>
    <col min="14" max="16384" width="8.88671875" style="231"/>
  </cols>
  <sheetData>
    <row r="1" spans="1:13" ht="18.600000000000001" customHeight="1" thickBot="1" x14ac:dyDescent="0.4">
      <c r="A1" s="494" t="s">
        <v>140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thickBot="1" x14ac:dyDescent="0.35">
      <c r="A2" s="348" t="s">
        <v>297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</row>
    <row r="3" spans="1:13" ht="14.4" customHeight="1" thickBot="1" x14ac:dyDescent="0.35">
      <c r="A3" s="319" t="s">
        <v>141</v>
      </c>
      <c r="B3" s="320">
        <f>SUBTOTAL(9,B6:B1048576)</f>
        <v>10538978</v>
      </c>
      <c r="C3" s="321">
        <f t="shared" ref="C3:L3" si="0">SUBTOTAL(9,C6:C1048576)</f>
        <v>11.789372592209242</v>
      </c>
      <c r="D3" s="321">
        <f t="shared" si="0"/>
        <v>9558357</v>
      </c>
      <c r="E3" s="321">
        <f t="shared" si="0"/>
        <v>10</v>
      </c>
      <c r="F3" s="321">
        <f t="shared" si="0"/>
        <v>9440824</v>
      </c>
      <c r="G3" s="324">
        <f>IF(D3&lt;&gt;0,F3/D3,"")</f>
        <v>0.98770363986195531</v>
      </c>
      <c r="H3" s="320">
        <f t="shared" si="0"/>
        <v>1753495.1599999997</v>
      </c>
      <c r="I3" s="321">
        <f t="shared" si="0"/>
        <v>0.99387757736717042</v>
      </c>
      <c r="J3" s="321">
        <f t="shared" si="0"/>
        <v>2861219.08</v>
      </c>
      <c r="K3" s="321">
        <f t="shared" si="0"/>
        <v>2</v>
      </c>
      <c r="L3" s="321">
        <f t="shared" si="0"/>
        <v>1439981.1800000002</v>
      </c>
      <c r="M3" s="322">
        <f>IF(J3&lt;&gt;0,L3/J3,"")</f>
        <v>0.50327540105737034</v>
      </c>
    </row>
    <row r="4" spans="1:13" ht="14.4" customHeight="1" x14ac:dyDescent="0.3">
      <c r="A4" s="639" t="s">
        <v>104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</row>
    <row r="5" spans="1:13" s="311" customFormat="1" ht="14.4" customHeight="1" thickBot="1" x14ac:dyDescent="0.35">
      <c r="A5" s="847"/>
      <c r="B5" s="848">
        <v>2015</v>
      </c>
      <c r="C5" s="849"/>
      <c r="D5" s="849">
        <v>2017</v>
      </c>
      <c r="E5" s="849"/>
      <c r="F5" s="849">
        <v>2018</v>
      </c>
      <c r="G5" s="752" t="s">
        <v>2</v>
      </c>
      <c r="H5" s="848">
        <v>2015</v>
      </c>
      <c r="I5" s="849"/>
      <c r="J5" s="849">
        <v>2017</v>
      </c>
      <c r="K5" s="849"/>
      <c r="L5" s="849">
        <v>2018</v>
      </c>
      <c r="M5" s="752" t="s">
        <v>2</v>
      </c>
    </row>
    <row r="6" spans="1:13" ht="14.4" customHeight="1" x14ac:dyDescent="0.3">
      <c r="A6" s="727" t="s">
        <v>4114</v>
      </c>
      <c r="B6" s="753">
        <v>8456</v>
      </c>
      <c r="C6" s="690">
        <v>1.8033695883983791</v>
      </c>
      <c r="D6" s="753">
        <v>4689</v>
      </c>
      <c r="E6" s="690">
        <v>1</v>
      </c>
      <c r="F6" s="753">
        <v>6542</v>
      </c>
      <c r="G6" s="715">
        <v>1.3951802089997867</v>
      </c>
      <c r="H6" s="753"/>
      <c r="I6" s="690"/>
      <c r="J6" s="753"/>
      <c r="K6" s="690"/>
      <c r="L6" s="753"/>
      <c r="M6" s="739"/>
    </row>
    <row r="7" spans="1:13" ht="14.4" customHeight="1" x14ac:dyDescent="0.3">
      <c r="A7" s="728" t="s">
        <v>4115</v>
      </c>
      <c r="B7" s="850"/>
      <c r="C7" s="697"/>
      <c r="D7" s="850"/>
      <c r="E7" s="697"/>
      <c r="F7" s="850">
        <v>148</v>
      </c>
      <c r="G7" s="723"/>
      <c r="H7" s="850"/>
      <c r="I7" s="697"/>
      <c r="J7" s="850"/>
      <c r="K7" s="697"/>
      <c r="L7" s="850"/>
      <c r="M7" s="851"/>
    </row>
    <row r="8" spans="1:13" ht="14.4" customHeight="1" x14ac:dyDescent="0.3">
      <c r="A8" s="728" t="s">
        <v>4116</v>
      </c>
      <c r="B8" s="850">
        <v>7036</v>
      </c>
      <c r="C8" s="697">
        <v>0.55642546461051801</v>
      </c>
      <c r="D8" s="850">
        <v>12645</v>
      </c>
      <c r="E8" s="697">
        <v>1</v>
      </c>
      <c r="F8" s="850"/>
      <c r="G8" s="723"/>
      <c r="H8" s="850">
        <v>2017</v>
      </c>
      <c r="I8" s="697">
        <v>0.38059763452060175</v>
      </c>
      <c r="J8" s="850">
        <v>5299.5599999999995</v>
      </c>
      <c r="K8" s="697">
        <v>1</v>
      </c>
      <c r="L8" s="850"/>
      <c r="M8" s="851"/>
    </row>
    <row r="9" spans="1:13" ht="14.4" customHeight="1" x14ac:dyDescent="0.3">
      <c r="A9" s="728" t="s">
        <v>4117</v>
      </c>
      <c r="B9" s="850">
        <v>572944</v>
      </c>
      <c r="C9" s="697">
        <v>0.95952036039958799</v>
      </c>
      <c r="D9" s="850">
        <v>597115</v>
      </c>
      <c r="E9" s="697">
        <v>1</v>
      </c>
      <c r="F9" s="850">
        <v>850561</v>
      </c>
      <c r="G9" s="723">
        <v>1.4244509014176499</v>
      </c>
      <c r="H9" s="850"/>
      <c r="I9" s="697"/>
      <c r="J9" s="850"/>
      <c r="K9" s="697"/>
      <c r="L9" s="850"/>
      <c r="M9" s="851"/>
    </row>
    <row r="10" spans="1:13" ht="14.4" customHeight="1" x14ac:dyDescent="0.3">
      <c r="A10" s="728" t="s">
        <v>4118</v>
      </c>
      <c r="B10" s="850">
        <v>2510345</v>
      </c>
      <c r="C10" s="697">
        <v>0.87634269715873592</v>
      </c>
      <c r="D10" s="850">
        <v>2864570</v>
      </c>
      <c r="E10" s="697">
        <v>1</v>
      </c>
      <c r="F10" s="850">
        <v>3081921</v>
      </c>
      <c r="G10" s="723">
        <v>1.0758756113483001</v>
      </c>
      <c r="H10" s="850"/>
      <c r="I10" s="697"/>
      <c r="J10" s="850"/>
      <c r="K10" s="697"/>
      <c r="L10" s="850"/>
      <c r="M10" s="851"/>
    </row>
    <row r="11" spans="1:13" ht="14.4" customHeight="1" x14ac:dyDescent="0.3">
      <c r="A11" s="728" t="s">
        <v>4119</v>
      </c>
      <c r="B11" s="850">
        <v>2600820</v>
      </c>
      <c r="C11" s="697">
        <v>1.0226633317382194</v>
      </c>
      <c r="D11" s="850">
        <v>2543183</v>
      </c>
      <c r="E11" s="697">
        <v>1</v>
      </c>
      <c r="F11" s="850">
        <v>2142584</v>
      </c>
      <c r="G11" s="723">
        <v>0.84248125282372521</v>
      </c>
      <c r="H11" s="850">
        <v>1751478.1599999997</v>
      </c>
      <c r="I11" s="697">
        <v>0.61327994284656862</v>
      </c>
      <c r="J11" s="850">
        <v>2855919.52</v>
      </c>
      <c r="K11" s="697">
        <v>1</v>
      </c>
      <c r="L11" s="850">
        <v>1439981.1800000002</v>
      </c>
      <c r="M11" s="851">
        <v>0.50420929928725733</v>
      </c>
    </row>
    <row r="12" spans="1:13" ht="14.4" customHeight="1" x14ac:dyDescent="0.3">
      <c r="A12" s="728" t="s">
        <v>4120</v>
      </c>
      <c r="B12" s="850">
        <v>834831</v>
      </c>
      <c r="C12" s="697">
        <v>0.92647822612864561</v>
      </c>
      <c r="D12" s="850">
        <v>901080</v>
      </c>
      <c r="E12" s="697">
        <v>1</v>
      </c>
      <c r="F12" s="850">
        <v>1033993</v>
      </c>
      <c r="G12" s="723">
        <v>1.1475041061836906</v>
      </c>
      <c r="H12" s="850"/>
      <c r="I12" s="697"/>
      <c r="J12" s="850"/>
      <c r="K12" s="697"/>
      <c r="L12" s="850"/>
      <c r="M12" s="851"/>
    </row>
    <row r="13" spans="1:13" ht="14.4" customHeight="1" x14ac:dyDescent="0.3">
      <c r="A13" s="728" t="s">
        <v>4121</v>
      </c>
      <c r="B13" s="850">
        <v>2829187</v>
      </c>
      <c r="C13" s="697">
        <v>2.0093486419149835</v>
      </c>
      <c r="D13" s="850">
        <v>1408012</v>
      </c>
      <c r="E13" s="697">
        <v>1</v>
      </c>
      <c r="F13" s="850">
        <v>925757</v>
      </c>
      <c r="G13" s="723">
        <v>0.65749226569091745</v>
      </c>
      <c r="H13" s="850"/>
      <c r="I13" s="697"/>
      <c r="J13" s="850"/>
      <c r="K13" s="697"/>
      <c r="L13" s="850"/>
      <c r="M13" s="851"/>
    </row>
    <row r="14" spans="1:13" ht="14.4" customHeight="1" x14ac:dyDescent="0.3">
      <c r="A14" s="728" t="s">
        <v>4122</v>
      </c>
      <c r="B14" s="850">
        <v>884272</v>
      </c>
      <c r="C14" s="697">
        <v>0.86442227138224936</v>
      </c>
      <c r="D14" s="850">
        <v>1022963</v>
      </c>
      <c r="E14" s="697">
        <v>1</v>
      </c>
      <c r="F14" s="850">
        <v>1282063</v>
      </c>
      <c r="G14" s="723">
        <v>1.2532838431106501</v>
      </c>
      <c r="H14" s="850"/>
      <c r="I14" s="697"/>
      <c r="J14" s="850"/>
      <c r="K14" s="697"/>
      <c r="L14" s="850"/>
      <c r="M14" s="851"/>
    </row>
    <row r="15" spans="1:13" ht="14.4" customHeight="1" x14ac:dyDescent="0.3">
      <c r="A15" s="728" t="s">
        <v>4123</v>
      </c>
      <c r="B15" s="850">
        <v>63821</v>
      </c>
      <c r="C15" s="697">
        <v>1.4238131358200963</v>
      </c>
      <c r="D15" s="850">
        <v>44824</v>
      </c>
      <c r="E15" s="697">
        <v>1</v>
      </c>
      <c r="F15" s="850">
        <v>73373</v>
      </c>
      <c r="G15" s="723">
        <v>1.636913260753168</v>
      </c>
      <c r="H15" s="850"/>
      <c r="I15" s="697"/>
      <c r="J15" s="850"/>
      <c r="K15" s="697"/>
      <c r="L15" s="850"/>
      <c r="M15" s="851"/>
    </row>
    <row r="16" spans="1:13" ht="14.4" customHeight="1" x14ac:dyDescent="0.3">
      <c r="A16" s="728" t="s">
        <v>4124</v>
      </c>
      <c r="B16" s="850">
        <v>214543</v>
      </c>
      <c r="C16" s="697">
        <v>1.3469888746578267</v>
      </c>
      <c r="D16" s="850">
        <v>159276</v>
      </c>
      <c r="E16" s="697">
        <v>1</v>
      </c>
      <c r="F16" s="850">
        <v>43616</v>
      </c>
      <c r="G16" s="723">
        <v>0.27383912202717298</v>
      </c>
      <c r="H16" s="850"/>
      <c r="I16" s="697"/>
      <c r="J16" s="850"/>
      <c r="K16" s="697"/>
      <c r="L16" s="850"/>
      <c r="M16" s="851"/>
    </row>
    <row r="17" spans="1:13" ht="14.4" customHeight="1" thickBot="1" x14ac:dyDescent="0.35">
      <c r="A17" s="755" t="s">
        <v>1861</v>
      </c>
      <c r="B17" s="754">
        <v>12723</v>
      </c>
      <c r="C17" s="704"/>
      <c r="D17" s="754"/>
      <c r="E17" s="704"/>
      <c r="F17" s="754">
        <v>266</v>
      </c>
      <c r="G17" s="716"/>
      <c r="H17" s="754"/>
      <c r="I17" s="704"/>
      <c r="J17" s="754"/>
      <c r="K17" s="704"/>
      <c r="L17" s="754"/>
      <c r="M17" s="74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60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94" t="s">
        <v>5133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297</v>
      </c>
      <c r="B2" s="204"/>
      <c r="C2" s="204"/>
      <c r="D2" s="204"/>
      <c r="E2" s="204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6"/>
      <c r="Q2" s="329"/>
    </row>
    <row r="3" spans="1:17" ht="14.4" customHeight="1" thickBot="1" x14ac:dyDescent="0.35">
      <c r="E3" s="97" t="s">
        <v>141</v>
      </c>
      <c r="F3" s="191">
        <f t="shared" ref="F3:O3" si="0">SUBTOTAL(9,F6:F1048576)</f>
        <v>75534.97</v>
      </c>
      <c r="G3" s="195">
        <f t="shared" si="0"/>
        <v>12292473.16</v>
      </c>
      <c r="H3" s="196"/>
      <c r="I3" s="196"/>
      <c r="J3" s="191">
        <f t="shared" si="0"/>
        <v>74190.76999999999</v>
      </c>
      <c r="K3" s="195">
        <f t="shared" si="0"/>
        <v>12419576.079999998</v>
      </c>
      <c r="L3" s="196"/>
      <c r="M3" s="196"/>
      <c r="N3" s="191">
        <f t="shared" si="0"/>
        <v>73855.7</v>
      </c>
      <c r="O3" s="195">
        <f t="shared" si="0"/>
        <v>10880805.180000002</v>
      </c>
      <c r="P3" s="162">
        <f>IF(K3=0,"",O3/K3)</f>
        <v>0.87610117365616258</v>
      </c>
      <c r="Q3" s="193">
        <f>IF(N3=0,"",O3/N3)</f>
        <v>147.3251919621641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76</v>
      </c>
      <c r="E4" s="585" t="s">
        <v>11</v>
      </c>
      <c r="F4" s="586">
        <v>2015</v>
      </c>
      <c r="G4" s="587"/>
      <c r="H4" s="194"/>
      <c r="I4" s="194"/>
      <c r="J4" s="586">
        <v>2017</v>
      </c>
      <c r="K4" s="587"/>
      <c r="L4" s="194"/>
      <c r="M4" s="194"/>
      <c r="N4" s="586">
        <v>2018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6"/>
      <c r="B5" s="757"/>
      <c r="C5" s="756"/>
      <c r="D5" s="758"/>
      <c r="E5" s="759"/>
      <c r="F5" s="760" t="s">
        <v>77</v>
      </c>
      <c r="G5" s="761" t="s">
        <v>14</v>
      </c>
      <c r="H5" s="762"/>
      <c r="I5" s="762"/>
      <c r="J5" s="760" t="s">
        <v>77</v>
      </c>
      <c r="K5" s="761" t="s">
        <v>14</v>
      </c>
      <c r="L5" s="762"/>
      <c r="M5" s="762"/>
      <c r="N5" s="760" t="s">
        <v>77</v>
      </c>
      <c r="O5" s="761" t="s">
        <v>14</v>
      </c>
      <c r="P5" s="763"/>
      <c r="Q5" s="764"/>
    </row>
    <row r="6" spans="1:17" ht="14.4" customHeight="1" x14ac:dyDescent="0.3">
      <c r="A6" s="689" t="s">
        <v>4125</v>
      </c>
      <c r="B6" s="690" t="s">
        <v>3936</v>
      </c>
      <c r="C6" s="690" t="s">
        <v>2708</v>
      </c>
      <c r="D6" s="690" t="s">
        <v>4126</v>
      </c>
      <c r="E6" s="690" t="s">
        <v>4127</v>
      </c>
      <c r="F6" s="694">
        <v>1</v>
      </c>
      <c r="G6" s="694">
        <v>1136</v>
      </c>
      <c r="H6" s="694"/>
      <c r="I6" s="694">
        <v>1136</v>
      </c>
      <c r="J6" s="694"/>
      <c r="K6" s="694"/>
      <c r="L6" s="694"/>
      <c r="M6" s="694"/>
      <c r="N6" s="694">
        <v>2</v>
      </c>
      <c r="O6" s="694">
        <v>2274</v>
      </c>
      <c r="P6" s="715"/>
      <c r="Q6" s="695">
        <v>1137</v>
      </c>
    </row>
    <row r="7" spans="1:17" ht="14.4" customHeight="1" x14ac:dyDescent="0.3">
      <c r="A7" s="696" t="s">
        <v>4125</v>
      </c>
      <c r="B7" s="697" t="s">
        <v>3936</v>
      </c>
      <c r="C7" s="697" t="s">
        <v>2708</v>
      </c>
      <c r="D7" s="697" t="s">
        <v>4126</v>
      </c>
      <c r="E7" s="697" t="s">
        <v>4128</v>
      </c>
      <c r="F7" s="701"/>
      <c r="G7" s="701"/>
      <c r="H7" s="701"/>
      <c r="I7" s="701"/>
      <c r="J7" s="701">
        <v>3</v>
      </c>
      <c r="K7" s="701">
        <v>3408</v>
      </c>
      <c r="L7" s="701">
        <v>1</v>
      </c>
      <c r="M7" s="701">
        <v>1136</v>
      </c>
      <c r="N7" s="701">
        <v>1</v>
      </c>
      <c r="O7" s="701">
        <v>1137</v>
      </c>
      <c r="P7" s="723">
        <v>0.33362676056338031</v>
      </c>
      <c r="Q7" s="702">
        <v>1137</v>
      </c>
    </row>
    <row r="8" spans="1:17" ht="14.4" customHeight="1" x14ac:dyDescent="0.3">
      <c r="A8" s="696" t="s">
        <v>4125</v>
      </c>
      <c r="B8" s="697" t="s">
        <v>3936</v>
      </c>
      <c r="C8" s="697" t="s">
        <v>2708</v>
      </c>
      <c r="D8" s="697" t="s">
        <v>3937</v>
      </c>
      <c r="E8" s="697" t="s">
        <v>4129</v>
      </c>
      <c r="F8" s="701">
        <v>1</v>
      </c>
      <c r="G8" s="701">
        <v>265</v>
      </c>
      <c r="H8" s="701"/>
      <c r="I8" s="701">
        <v>265</v>
      </c>
      <c r="J8" s="701"/>
      <c r="K8" s="701"/>
      <c r="L8" s="701"/>
      <c r="M8" s="701"/>
      <c r="N8" s="701">
        <v>1</v>
      </c>
      <c r="O8" s="701">
        <v>266</v>
      </c>
      <c r="P8" s="723"/>
      <c r="Q8" s="702">
        <v>266</v>
      </c>
    </row>
    <row r="9" spans="1:17" ht="14.4" customHeight="1" x14ac:dyDescent="0.3">
      <c r="A9" s="696" t="s">
        <v>4125</v>
      </c>
      <c r="B9" s="697" t="s">
        <v>3936</v>
      </c>
      <c r="C9" s="697" t="s">
        <v>2708</v>
      </c>
      <c r="D9" s="697" t="s">
        <v>3937</v>
      </c>
      <c r="E9" s="697" t="s">
        <v>3938</v>
      </c>
      <c r="F9" s="701"/>
      <c r="G9" s="701"/>
      <c r="H9" s="701"/>
      <c r="I9" s="701"/>
      <c r="J9" s="701">
        <v>3</v>
      </c>
      <c r="K9" s="701">
        <v>795</v>
      </c>
      <c r="L9" s="701">
        <v>1</v>
      </c>
      <c r="M9" s="701">
        <v>265</v>
      </c>
      <c r="N9" s="701">
        <v>1</v>
      </c>
      <c r="O9" s="701">
        <v>266</v>
      </c>
      <c r="P9" s="723">
        <v>0.33459119496855344</v>
      </c>
      <c r="Q9" s="702">
        <v>266</v>
      </c>
    </row>
    <row r="10" spans="1:17" ht="14.4" customHeight="1" x14ac:dyDescent="0.3">
      <c r="A10" s="696" t="s">
        <v>4125</v>
      </c>
      <c r="B10" s="697" t="s">
        <v>3936</v>
      </c>
      <c r="C10" s="697" t="s">
        <v>2708</v>
      </c>
      <c r="D10" s="697" t="s">
        <v>4130</v>
      </c>
      <c r="E10" s="697" t="s">
        <v>4131</v>
      </c>
      <c r="F10" s="701"/>
      <c r="G10" s="701"/>
      <c r="H10" s="701"/>
      <c r="I10" s="701"/>
      <c r="J10" s="701"/>
      <c r="K10" s="701"/>
      <c r="L10" s="701"/>
      <c r="M10" s="701"/>
      <c r="N10" s="701">
        <v>2</v>
      </c>
      <c r="O10" s="701">
        <v>1138</v>
      </c>
      <c r="P10" s="723"/>
      <c r="Q10" s="702">
        <v>569</v>
      </c>
    </row>
    <row r="11" spans="1:17" ht="14.4" customHeight="1" x14ac:dyDescent="0.3">
      <c r="A11" s="696" t="s">
        <v>4125</v>
      </c>
      <c r="B11" s="697" t="s">
        <v>3936</v>
      </c>
      <c r="C11" s="697" t="s">
        <v>2708</v>
      </c>
      <c r="D11" s="697" t="s">
        <v>3943</v>
      </c>
      <c r="E11" s="697" t="s">
        <v>3944</v>
      </c>
      <c r="F11" s="701">
        <v>1</v>
      </c>
      <c r="G11" s="701">
        <v>5597</v>
      </c>
      <c r="H11" s="701"/>
      <c r="I11" s="701">
        <v>5597</v>
      </c>
      <c r="J11" s="701"/>
      <c r="K11" s="701"/>
      <c r="L11" s="701"/>
      <c r="M11" s="701"/>
      <c r="N11" s="701"/>
      <c r="O11" s="701"/>
      <c r="P11" s="723"/>
      <c r="Q11" s="702"/>
    </row>
    <row r="12" spans="1:17" ht="14.4" customHeight="1" x14ac:dyDescent="0.3">
      <c r="A12" s="696" t="s">
        <v>4125</v>
      </c>
      <c r="B12" s="697" t="s">
        <v>3936</v>
      </c>
      <c r="C12" s="697" t="s">
        <v>2708</v>
      </c>
      <c r="D12" s="697" t="s">
        <v>4132</v>
      </c>
      <c r="E12" s="697" t="s">
        <v>4133</v>
      </c>
      <c r="F12" s="701">
        <v>1</v>
      </c>
      <c r="G12" s="701">
        <v>486</v>
      </c>
      <c r="H12" s="701">
        <v>1</v>
      </c>
      <c r="I12" s="701">
        <v>486</v>
      </c>
      <c r="J12" s="701">
        <v>1</v>
      </c>
      <c r="K12" s="701">
        <v>486</v>
      </c>
      <c r="L12" s="701">
        <v>1</v>
      </c>
      <c r="M12" s="701">
        <v>486</v>
      </c>
      <c r="N12" s="701">
        <v>1</v>
      </c>
      <c r="O12" s="701">
        <v>487</v>
      </c>
      <c r="P12" s="723">
        <v>1.0020576131687242</v>
      </c>
      <c r="Q12" s="702">
        <v>487</v>
      </c>
    </row>
    <row r="13" spans="1:17" ht="14.4" customHeight="1" x14ac:dyDescent="0.3">
      <c r="A13" s="696" t="s">
        <v>4125</v>
      </c>
      <c r="B13" s="697" t="s">
        <v>3936</v>
      </c>
      <c r="C13" s="697" t="s">
        <v>2708</v>
      </c>
      <c r="D13" s="697" t="s">
        <v>4132</v>
      </c>
      <c r="E13" s="697" t="s">
        <v>4134</v>
      </c>
      <c r="F13" s="701">
        <v>2</v>
      </c>
      <c r="G13" s="701">
        <v>972</v>
      </c>
      <c r="H13" s="701"/>
      <c r="I13" s="701">
        <v>486</v>
      </c>
      <c r="J13" s="701"/>
      <c r="K13" s="701"/>
      <c r="L13" s="701"/>
      <c r="M13" s="701"/>
      <c r="N13" s="701">
        <v>2</v>
      </c>
      <c r="O13" s="701">
        <v>974</v>
      </c>
      <c r="P13" s="723"/>
      <c r="Q13" s="702">
        <v>487</v>
      </c>
    </row>
    <row r="14" spans="1:17" ht="14.4" customHeight="1" x14ac:dyDescent="0.3">
      <c r="A14" s="696" t="s">
        <v>4135</v>
      </c>
      <c r="B14" s="697" t="s">
        <v>4136</v>
      </c>
      <c r="C14" s="697" t="s">
        <v>2708</v>
      </c>
      <c r="D14" s="697" t="s">
        <v>4137</v>
      </c>
      <c r="E14" s="697" t="s">
        <v>4138</v>
      </c>
      <c r="F14" s="701"/>
      <c r="G14" s="701"/>
      <c r="H14" s="701"/>
      <c r="I14" s="701"/>
      <c r="J14" s="701"/>
      <c r="K14" s="701"/>
      <c r="L14" s="701"/>
      <c r="M14" s="701"/>
      <c r="N14" s="701">
        <v>1</v>
      </c>
      <c r="O14" s="701">
        <v>148</v>
      </c>
      <c r="P14" s="723"/>
      <c r="Q14" s="702">
        <v>148</v>
      </c>
    </row>
    <row r="15" spans="1:17" ht="14.4" customHeight="1" x14ac:dyDescent="0.3">
      <c r="A15" s="696" t="s">
        <v>4139</v>
      </c>
      <c r="B15" s="697" t="s">
        <v>4140</v>
      </c>
      <c r="C15" s="697" t="s">
        <v>3272</v>
      </c>
      <c r="D15" s="697" t="s">
        <v>4141</v>
      </c>
      <c r="E15" s="697" t="s">
        <v>4142</v>
      </c>
      <c r="F15" s="701">
        <v>100</v>
      </c>
      <c r="G15" s="701">
        <v>2017</v>
      </c>
      <c r="H15" s="701">
        <v>0.73678750420082118</v>
      </c>
      <c r="I15" s="701">
        <v>20.170000000000002</v>
      </c>
      <c r="J15" s="701">
        <v>134</v>
      </c>
      <c r="K15" s="701">
        <v>2737.56</v>
      </c>
      <c r="L15" s="701">
        <v>1</v>
      </c>
      <c r="M15" s="701">
        <v>20.429552238805968</v>
      </c>
      <c r="N15" s="701"/>
      <c r="O15" s="701"/>
      <c r="P15" s="723"/>
      <c r="Q15" s="702"/>
    </row>
    <row r="16" spans="1:17" ht="14.4" customHeight="1" x14ac:dyDescent="0.3">
      <c r="A16" s="696" t="s">
        <v>4139</v>
      </c>
      <c r="B16" s="697" t="s">
        <v>4140</v>
      </c>
      <c r="C16" s="697" t="s">
        <v>3272</v>
      </c>
      <c r="D16" s="697" t="s">
        <v>4143</v>
      </c>
      <c r="E16" s="697" t="s">
        <v>4144</v>
      </c>
      <c r="F16" s="701"/>
      <c r="G16" s="701"/>
      <c r="H16" s="701"/>
      <c r="I16" s="701"/>
      <c r="J16" s="701">
        <v>300</v>
      </c>
      <c r="K16" s="701">
        <v>2562</v>
      </c>
      <c r="L16" s="701">
        <v>1</v>
      </c>
      <c r="M16" s="701">
        <v>8.5399999999999991</v>
      </c>
      <c r="N16" s="701"/>
      <c r="O16" s="701"/>
      <c r="P16" s="723"/>
      <c r="Q16" s="702"/>
    </row>
    <row r="17" spans="1:17" ht="14.4" customHeight="1" x14ac:dyDescent="0.3">
      <c r="A17" s="696" t="s">
        <v>4139</v>
      </c>
      <c r="B17" s="697" t="s">
        <v>4140</v>
      </c>
      <c r="C17" s="697" t="s">
        <v>2708</v>
      </c>
      <c r="D17" s="697" t="s">
        <v>4145</v>
      </c>
      <c r="E17" s="697" t="s">
        <v>4146</v>
      </c>
      <c r="F17" s="701"/>
      <c r="G17" s="701"/>
      <c r="H17" s="701"/>
      <c r="I17" s="701"/>
      <c r="J17" s="701">
        <v>1</v>
      </c>
      <c r="K17" s="701">
        <v>717</v>
      </c>
      <c r="L17" s="701">
        <v>1</v>
      </c>
      <c r="M17" s="701">
        <v>717</v>
      </c>
      <c r="N17" s="701"/>
      <c r="O17" s="701"/>
      <c r="P17" s="723"/>
      <c r="Q17" s="702"/>
    </row>
    <row r="18" spans="1:17" ht="14.4" customHeight="1" x14ac:dyDescent="0.3">
      <c r="A18" s="696" t="s">
        <v>4139</v>
      </c>
      <c r="B18" s="697" t="s">
        <v>4140</v>
      </c>
      <c r="C18" s="697" t="s">
        <v>2708</v>
      </c>
      <c r="D18" s="697" t="s">
        <v>4147</v>
      </c>
      <c r="E18" s="697" t="s">
        <v>4148</v>
      </c>
      <c r="F18" s="701"/>
      <c r="G18" s="701"/>
      <c r="H18" s="701"/>
      <c r="I18" s="701"/>
      <c r="J18" s="701">
        <v>1</v>
      </c>
      <c r="K18" s="701">
        <v>2638</v>
      </c>
      <c r="L18" s="701">
        <v>1</v>
      </c>
      <c r="M18" s="701">
        <v>2638</v>
      </c>
      <c r="N18" s="701"/>
      <c r="O18" s="701"/>
      <c r="P18" s="723"/>
      <c r="Q18" s="702"/>
    </row>
    <row r="19" spans="1:17" ht="14.4" customHeight="1" x14ac:dyDescent="0.3">
      <c r="A19" s="696" t="s">
        <v>4139</v>
      </c>
      <c r="B19" s="697" t="s">
        <v>4140</v>
      </c>
      <c r="C19" s="697" t="s">
        <v>2708</v>
      </c>
      <c r="D19" s="697" t="s">
        <v>4149</v>
      </c>
      <c r="E19" s="697" t="s">
        <v>4150</v>
      </c>
      <c r="F19" s="701"/>
      <c r="G19" s="701"/>
      <c r="H19" s="701"/>
      <c r="I19" s="701"/>
      <c r="J19" s="701">
        <v>2</v>
      </c>
      <c r="K19" s="701">
        <v>3650</v>
      </c>
      <c r="L19" s="701">
        <v>1</v>
      </c>
      <c r="M19" s="701">
        <v>1825</v>
      </c>
      <c r="N19" s="701"/>
      <c r="O19" s="701"/>
      <c r="P19" s="723"/>
      <c r="Q19" s="702"/>
    </row>
    <row r="20" spans="1:17" ht="14.4" customHeight="1" x14ac:dyDescent="0.3">
      <c r="A20" s="696" t="s">
        <v>4139</v>
      </c>
      <c r="B20" s="697" t="s">
        <v>4140</v>
      </c>
      <c r="C20" s="697" t="s">
        <v>2708</v>
      </c>
      <c r="D20" s="697" t="s">
        <v>4151</v>
      </c>
      <c r="E20" s="697" t="s">
        <v>4152</v>
      </c>
      <c r="F20" s="701"/>
      <c r="G20" s="701"/>
      <c r="H20" s="701"/>
      <c r="I20" s="701"/>
      <c r="J20" s="701">
        <v>1</v>
      </c>
      <c r="K20" s="701">
        <v>429</v>
      </c>
      <c r="L20" s="701">
        <v>1</v>
      </c>
      <c r="M20" s="701">
        <v>429</v>
      </c>
      <c r="N20" s="701"/>
      <c r="O20" s="701"/>
      <c r="P20" s="723"/>
      <c r="Q20" s="702"/>
    </row>
    <row r="21" spans="1:17" ht="14.4" customHeight="1" x14ac:dyDescent="0.3">
      <c r="A21" s="696" t="s">
        <v>4139</v>
      </c>
      <c r="B21" s="697" t="s">
        <v>4140</v>
      </c>
      <c r="C21" s="697" t="s">
        <v>2708</v>
      </c>
      <c r="D21" s="697" t="s">
        <v>4153</v>
      </c>
      <c r="E21" s="697" t="s">
        <v>4154</v>
      </c>
      <c r="F21" s="701">
        <v>2</v>
      </c>
      <c r="G21" s="701">
        <v>7036</v>
      </c>
      <c r="H21" s="701">
        <v>1.9988636363636363</v>
      </c>
      <c r="I21" s="701">
        <v>3518</v>
      </c>
      <c r="J21" s="701">
        <v>1</v>
      </c>
      <c r="K21" s="701">
        <v>3520</v>
      </c>
      <c r="L21" s="701">
        <v>1</v>
      </c>
      <c r="M21" s="701">
        <v>3520</v>
      </c>
      <c r="N21" s="701"/>
      <c r="O21" s="701"/>
      <c r="P21" s="723"/>
      <c r="Q21" s="702"/>
    </row>
    <row r="22" spans="1:17" ht="14.4" customHeight="1" x14ac:dyDescent="0.3">
      <c r="A22" s="696" t="s">
        <v>4139</v>
      </c>
      <c r="B22" s="697" t="s">
        <v>4140</v>
      </c>
      <c r="C22" s="697" t="s">
        <v>2708</v>
      </c>
      <c r="D22" s="697" t="s">
        <v>4155</v>
      </c>
      <c r="E22" s="697" t="s">
        <v>4156</v>
      </c>
      <c r="F22" s="701"/>
      <c r="G22" s="701"/>
      <c r="H22" s="701"/>
      <c r="I22" s="701"/>
      <c r="J22" s="701">
        <v>1</v>
      </c>
      <c r="K22" s="701">
        <v>1691</v>
      </c>
      <c r="L22" s="701">
        <v>1</v>
      </c>
      <c r="M22" s="701">
        <v>1691</v>
      </c>
      <c r="N22" s="701"/>
      <c r="O22" s="701"/>
      <c r="P22" s="723"/>
      <c r="Q22" s="702"/>
    </row>
    <row r="23" spans="1:17" ht="14.4" customHeight="1" x14ac:dyDescent="0.3">
      <c r="A23" s="696" t="s">
        <v>4157</v>
      </c>
      <c r="B23" s="697" t="s">
        <v>4158</v>
      </c>
      <c r="C23" s="697" t="s">
        <v>2708</v>
      </c>
      <c r="D23" s="697" t="s">
        <v>4159</v>
      </c>
      <c r="E23" s="697" t="s">
        <v>4160</v>
      </c>
      <c r="F23" s="701"/>
      <c r="G23" s="701"/>
      <c r="H23" s="701"/>
      <c r="I23" s="701"/>
      <c r="J23" s="701"/>
      <c r="K23" s="701"/>
      <c r="L23" s="701"/>
      <c r="M23" s="701"/>
      <c r="N23" s="701">
        <v>1</v>
      </c>
      <c r="O23" s="701">
        <v>299</v>
      </c>
      <c r="P23" s="723"/>
      <c r="Q23" s="702">
        <v>299</v>
      </c>
    </row>
    <row r="24" spans="1:17" ht="14.4" customHeight="1" x14ac:dyDescent="0.3">
      <c r="A24" s="696" t="s">
        <v>4157</v>
      </c>
      <c r="B24" s="697" t="s">
        <v>4158</v>
      </c>
      <c r="C24" s="697" t="s">
        <v>2708</v>
      </c>
      <c r="D24" s="697" t="s">
        <v>4161</v>
      </c>
      <c r="E24" s="697" t="s">
        <v>4162</v>
      </c>
      <c r="F24" s="701"/>
      <c r="G24" s="701"/>
      <c r="H24" s="701"/>
      <c r="I24" s="701"/>
      <c r="J24" s="701"/>
      <c r="K24" s="701"/>
      <c r="L24" s="701"/>
      <c r="M24" s="701"/>
      <c r="N24" s="701">
        <v>15</v>
      </c>
      <c r="O24" s="701">
        <v>157005</v>
      </c>
      <c r="P24" s="723"/>
      <c r="Q24" s="702">
        <v>10467</v>
      </c>
    </row>
    <row r="25" spans="1:17" ht="14.4" customHeight="1" x14ac:dyDescent="0.3">
      <c r="A25" s="696" t="s">
        <v>4157</v>
      </c>
      <c r="B25" s="697" t="s">
        <v>4158</v>
      </c>
      <c r="C25" s="697" t="s">
        <v>2708</v>
      </c>
      <c r="D25" s="697" t="s">
        <v>4163</v>
      </c>
      <c r="E25" s="697" t="s">
        <v>4164</v>
      </c>
      <c r="F25" s="701"/>
      <c r="G25" s="701"/>
      <c r="H25" s="701"/>
      <c r="I25" s="701"/>
      <c r="J25" s="701"/>
      <c r="K25" s="701"/>
      <c r="L25" s="701"/>
      <c r="M25" s="701"/>
      <c r="N25" s="701">
        <v>1</v>
      </c>
      <c r="O25" s="701">
        <v>11396</v>
      </c>
      <c r="P25" s="723"/>
      <c r="Q25" s="702">
        <v>11396</v>
      </c>
    </row>
    <row r="26" spans="1:17" ht="14.4" customHeight="1" x14ac:dyDescent="0.3">
      <c r="A26" s="696" t="s">
        <v>4157</v>
      </c>
      <c r="B26" s="697" t="s">
        <v>4158</v>
      </c>
      <c r="C26" s="697" t="s">
        <v>2708</v>
      </c>
      <c r="D26" s="697" t="s">
        <v>4165</v>
      </c>
      <c r="E26" s="697" t="s">
        <v>4166</v>
      </c>
      <c r="F26" s="701"/>
      <c r="G26" s="701"/>
      <c r="H26" s="701"/>
      <c r="I26" s="701"/>
      <c r="J26" s="701"/>
      <c r="K26" s="701"/>
      <c r="L26" s="701"/>
      <c r="M26" s="701"/>
      <c r="N26" s="701">
        <v>2</v>
      </c>
      <c r="O26" s="701">
        <v>2214</v>
      </c>
      <c r="P26" s="723"/>
      <c r="Q26" s="702">
        <v>1107</v>
      </c>
    </row>
    <row r="27" spans="1:17" ht="14.4" customHeight="1" x14ac:dyDescent="0.3">
      <c r="A27" s="696" t="s">
        <v>4157</v>
      </c>
      <c r="B27" s="697" t="s">
        <v>4158</v>
      </c>
      <c r="C27" s="697" t="s">
        <v>2708</v>
      </c>
      <c r="D27" s="697" t="s">
        <v>4167</v>
      </c>
      <c r="E27" s="697" t="s">
        <v>4168</v>
      </c>
      <c r="F27" s="701"/>
      <c r="G27" s="701"/>
      <c r="H27" s="701"/>
      <c r="I27" s="701"/>
      <c r="J27" s="701"/>
      <c r="K27" s="701"/>
      <c r="L27" s="701"/>
      <c r="M27" s="701"/>
      <c r="N27" s="701">
        <v>4</v>
      </c>
      <c r="O27" s="701">
        <v>6516</v>
      </c>
      <c r="P27" s="723"/>
      <c r="Q27" s="702">
        <v>1629</v>
      </c>
    </row>
    <row r="28" spans="1:17" ht="14.4" customHeight="1" x14ac:dyDescent="0.3">
      <c r="A28" s="696" t="s">
        <v>4157</v>
      </c>
      <c r="B28" s="697" t="s">
        <v>4158</v>
      </c>
      <c r="C28" s="697" t="s">
        <v>2708</v>
      </c>
      <c r="D28" s="697" t="s">
        <v>4169</v>
      </c>
      <c r="E28" s="697" t="s">
        <v>4170</v>
      </c>
      <c r="F28" s="701"/>
      <c r="G28" s="701"/>
      <c r="H28" s="701"/>
      <c r="I28" s="701"/>
      <c r="J28" s="701"/>
      <c r="K28" s="701"/>
      <c r="L28" s="701"/>
      <c r="M28" s="701"/>
      <c r="N28" s="701">
        <v>1</v>
      </c>
      <c r="O28" s="701">
        <v>39726</v>
      </c>
      <c r="P28" s="723"/>
      <c r="Q28" s="702">
        <v>39726</v>
      </c>
    </row>
    <row r="29" spans="1:17" ht="14.4" customHeight="1" x14ac:dyDescent="0.3">
      <c r="A29" s="696" t="s">
        <v>4157</v>
      </c>
      <c r="B29" s="697" t="s">
        <v>4171</v>
      </c>
      <c r="C29" s="697" t="s">
        <v>2708</v>
      </c>
      <c r="D29" s="697" t="s">
        <v>4172</v>
      </c>
      <c r="E29" s="697" t="s">
        <v>4173</v>
      </c>
      <c r="F29" s="701"/>
      <c r="G29" s="701"/>
      <c r="H29" s="701"/>
      <c r="I29" s="701"/>
      <c r="J29" s="701"/>
      <c r="K29" s="701"/>
      <c r="L29" s="701"/>
      <c r="M29" s="701"/>
      <c r="N29" s="701">
        <v>4</v>
      </c>
      <c r="O29" s="701">
        <v>888</v>
      </c>
      <c r="P29" s="723"/>
      <c r="Q29" s="702">
        <v>222</v>
      </c>
    </row>
    <row r="30" spans="1:17" ht="14.4" customHeight="1" x14ac:dyDescent="0.3">
      <c r="A30" s="696" t="s">
        <v>4157</v>
      </c>
      <c r="B30" s="697" t="s">
        <v>4171</v>
      </c>
      <c r="C30" s="697" t="s">
        <v>2708</v>
      </c>
      <c r="D30" s="697" t="s">
        <v>4174</v>
      </c>
      <c r="E30" s="697" t="s">
        <v>4175</v>
      </c>
      <c r="F30" s="701"/>
      <c r="G30" s="701"/>
      <c r="H30" s="701"/>
      <c r="I30" s="701"/>
      <c r="J30" s="701"/>
      <c r="K30" s="701"/>
      <c r="L30" s="701"/>
      <c r="M30" s="701"/>
      <c r="N30" s="701">
        <v>4</v>
      </c>
      <c r="O30" s="701">
        <v>2036</v>
      </c>
      <c r="P30" s="723"/>
      <c r="Q30" s="702">
        <v>509</v>
      </c>
    </row>
    <row r="31" spans="1:17" ht="14.4" customHeight="1" x14ac:dyDescent="0.3">
      <c r="A31" s="696" t="s">
        <v>4157</v>
      </c>
      <c r="B31" s="697" t="s">
        <v>4171</v>
      </c>
      <c r="C31" s="697" t="s">
        <v>2708</v>
      </c>
      <c r="D31" s="697" t="s">
        <v>4176</v>
      </c>
      <c r="E31" s="697" t="s">
        <v>4177</v>
      </c>
      <c r="F31" s="701">
        <v>197</v>
      </c>
      <c r="G31" s="701">
        <v>69738</v>
      </c>
      <c r="H31" s="701">
        <v>1.2160493827160495</v>
      </c>
      <c r="I31" s="701">
        <v>354</v>
      </c>
      <c r="J31" s="701">
        <v>162</v>
      </c>
      <c r="K31" s="701">
        <v>57348</v>
      </c>
      <c r="L31" s="701">
        <v>1</v>
      </c>
      <c r="M31" s="701">
        <v>354</v>
      </c>
      <c r="N31" s="701">
        <v>184</v>
      </c>
      <c r="O31" s="701">
        <v>65136</v>
      </c>
      <c r="P31" s="723">
        <v>1.1358024691358024</v>
      </c>
      <c r="Q31" s="702">
        <v>354</v>
      </c>
    </row>
    <row r="32" spans="1:17" ht="14.4" customHeight="1" x14ac:dyDescent="0.3">
      <c r="A32" s="696" t="s">
        <v>4157</v>
      </c>
      <c r="B32" s="697" t="s">
        <v>4171</v>
      </c>
      <c r="C32" s="697" t="s">
        <v>2708</v>
      </c>
      <c r="D32" s="697" t="s">
        <v>4178</v>
      </c>
      <c r="E32" s="697" t="s">
        <v>4179</v>
      </c>
      <c r="F32" s="701">
        <v>364</v>
      </c>
      <c r="G32" s="701">
        <v>23660</v>
      </c>
      <c r="H32" s="701">
        <v>1.2727272727272727</v>
      </c>
      <c r="I32" s="701">
        <v>65</v>
      </c>
      <c r="J32" s="701">
        <v>286</v>
      </c>
      <c r="K32" s="701">
        <v>18590</v>
      </c>
      <c r="L32" s="701">
        <v>1</v>
      </c>
      <c r="M32" s="701">
        <v>65</v>
      </c>
      <c r="N32" s="701">
        <v>296</v>
      </c>
      <c r="O32" s="701">
        <v>19240</v>
      </c>
      <c r="P32" s="723">
        <v>1.034965034965035</v>
      </c>
      <c r="Q32" s="702">
        <v>65</v>
      </c>
    </row>
    <row r="33" spans="1:17" ht="14.4" customHeight="1" x14ac:dyDescent="0.3">
      <c r="A33" s="696" t="s">
        <v>4157</v>
      </c>
      <c r="B33" s="697" t="s">
        <v>4171</v>
      </c>
      <c r="C33" s="697" t="s">
        <v>2708</v>
      </c>
      <c r="D33" s="697" t="s">
        <v>4180</v>
      </c>
      <c r="E33" s="697" t="s">
        <v>4181</v>
      </c>
      <c r="F33" s="701">
        <v>1</v>
      </c>
      <c r="G33" s="701">
        <v>592</v>
      </c>
      <c r="H33" s="701">
        <v>0.5</v>
      </c>
      <c r="I33" s="701">
        <v>592</v>
      </c>
      <c r="J33" s="701">
        <v>2</v>
      </c>
      <c r="K33" s="701">
        <v>1184</v>
      </c>
      <c r="L33" s="701">
        <v>1</v>
      </c>
      <c r="M33" s="701">
        <v>592</v>
      </c>
      <c r="N33" s="701"/>
      <c r="O33" s="701"/>
      <c r="P33" s="723"/>
      <c r="Q33" s="702"/>
    </row>
    <row r="34" spans="1:17" ht="14.4" customHeight="1" x14ac:dyDescent="0.3">
      <c r="A34" s="696" t="s">
        <v>4157</v>
      </c>
      <c r="B34" s="697" t="s">
        <v>4171</v>
      </c>
      <c r="C34" s="697" t="s">
        <v>2708</v>
      </c>
      <c r="D34" s="697" t="s">
        <v>4180</v>
      </c>
      <c r="E34" s="697" t="s">
        <v>4182</v>
      </c>
      <c r="F34" s="701">
        <v>1</v>
      </c>
      <c r="G34" s="701">
        <v>592</v>
      </c>
      <c r="H34" s="701">
        <v>7.6923076923076927E-2</v>
      </c>
      <c r="I34" s="701">
        <v>592</v>
      </c>
      <c r="J34" s="701">
        <v>13</v>
      </c>
      <c r="K34" s="701">
        <v>7696</v>
      </c>
      <c r="L34" s="701">
        <v>1</v>
      </c>
      <c r="M34" s="701">
        <v>592</v>
      </c>
      <c r="N34" s="701"/>
      <c r="O34" s="701"/>
      <c r="P34" s="723"/>
      <c r="Q34" s="702"/>
    </row>
    <row r="35" spans="1:17" ht="14.4" customHeight="1" x14ac:dyDescent="0.3">
      <c r="A35" s="696" t="s">
        <v>4157</v>
      </c>
      <c r="B35" s="697" t="s">
        <v>4171</v>
      </c>
      <c r="C35" s="697" t="s">
        <v>2708</v>
      </c>
      <c r="D35" s="697" t="s">
        <v>4183</v>
      </c>
      <c r="E35" s="697" t="s">
        <v>4184</v>
      </c>
      <c r="F35" s="701">
        <v>1</v>
      </c>
      <c r="G35" s="701">
        <v>617</v>
      </c>
      <c r="H35" s="701"/>
      <c r="I35" s="701">
        <v>617</v>
      </c>
      <c r="J35" s="701"/>
      <c r="K35" s="701"/>
      <c r="L35" s="701"/>
      <c r="M35" s="701"/>
      <c r="N35" s="701"/>
      <c r="O35" s="701"/>
      <c r="P35" s="723"/>
      <c r="Q35" s="702"/>
    </row>
    <row r="36" spans="1:17" ht="14.4" customHeight="1" x14ac:dyDescent="0.3">
      <c r="A36" s="696" t="s">
        <v>4157</v>
      </c>
      <c r="B36" s="697" t="s">
        <v>4171</v>
      </c>
      <c r="C36" s="697" t="s">
        <v>2708</v>
      </c>
      <c r="D36" s="697" t="s">
        <v>4185</v>
      </c>
      <c r="E36" s="697" t="s">
        <v>4186</v>
      </c>
      <c r="F36" s="701">
        <v>1</v>
      </c>
      <c r="G36" s="701">
        <v>153</v>
      </c>
      <c r="H36" s="701">
        <v>0.5</v>
      </c>
      <c r="I36" s="701">
        <v>153</v>
      </c>
      <c r="J36" s="701">
        <v>2</v>
      </c>
      <c r="K36" s="701">
        <v>306</v>
      </c>
      <c r="L36" s="701">
        <v>1</v>
      </c>
      <c r="M36" s="701">
        <v>153</v>
      </c>
      <c r="N36" s="701">
        <v>4</v>
      </c>
      <c r="O36" s="701">
        <v>612</v>
      </c>
      <c r="P36" s="723">
        <v>2</v>
      </c>
      <c r="Q36" s="702">
        <v>153</v>
      </c>
    </row>
    <row r="37" spans="1:17" ht="14.4" customHeight="1" x14ac:dyDescent="0.3">
      <c r="A37" s="696" t="s">
        <v>4157</v>
      </c>
      <c r="B37" s="697" t="s">
        <v>4171</v>
      </c>
      <c r="C37" s="697" t="s">
        <v>2708</v>
      </c>
      <c r="D37" s="697" t="s">
        <v>4187</v>
      </c>
      <c r="E37" s="697" t="s">
        <v>4188</v>
      </c>
      <c r="F37" s="701">
        <v>49</v>
      </c>
      <c r="G37" s="701">
        <v>1176</v>
      </c>
      <c r="H37" s="701">
        <v>1.6896551724137931</v>
      </c>
      <c r="I37" s="701">
        <v>24</v>
      </c>
      <c r="J37" s="701">
        <v>29</v>
      </c>
      <c r="K37" s="701">
        <v>696</v>
      </c>
      <c r="L37" s="701">
        <v>1</v>
      </c>
      <c r="M37" s="701">
        <v>24</v>
      </c>
      <c r="N37" s="701">
        <v>33</v>
      </c>
      <c r="O37" s="701">
        <v>799</v>
      </c>
      <c r="P37" s="723">
        <v>1.1479885057471264</v>
      </c>
      <c r="Q37" s="702">
        <v>24.212121212121211</v>
      </c>
    </row>
    <row r="38" spans="1:17" ht="14.4" customHeight="1" x14ac:dyDescent="0.3">
      <c r="A38" s="696" t="s">
        <v>4157</v>
      </c>
      <c r="B38" s="697" t="s">
        <v>4171</v>
      </c>
      <c r="C38" s="697" t="s">
        <v>2708</v>
      </c>
      <c r="D38" s="697" t="s">
        <v>4187</v>
      </c>
      <c r="E38" s="697" t="s">
        <v>4189</v>
      </c>
      <c r="F38" s="701"/>
      <c r="G38" s="701"/>
      <c r="H38" s="701"/>
      <c r="I38" s="701"/>
      <c r="J38" s="701">
        <v>9</v>
      </c>
      <c r="K38" s="701">
        <v>216</v>
      </c>
      <c r="L38" s="701">
        <v>1</v>
      </c>
      <c r="M38" s="701">
        <v>24</v>
      </c>
      <c r="N38" s="701">
        <v>5</v>
      </c>
      <c r="O38" s="701">
        <v>122</v>
      </c>
      <c r="P38" s="723">
        <v>0.56481481481481477</v>
      </c>
      <c r="Q38" s="702">
        <v>24.4</v>
      </c>
    </row>
    <row r="39" spans="1:17" ht="14.4" customHeight="1" x14ac:dyDescent="0.3">
      <c r="A39" s="696" t="s">
        <v>4157</v>
      </c>
      <c r="B39" s="697" t="s">
        <v>4171</v>
      </c>
      <c r="C39" s="697" t="s">
        <v>2708</v>
      </c>
      <c r="D39" s="697" t="s">
        <v>4190</v>
      </c>
      <c r="E39" s="697" t="s">
        <v>4191</v>
      </c>
      <c r="F39" s="701">
        <v>10</v>
      </c>
      <c r="G39" s="701">
        <v>550</v>
      </c>
      <c r="H39" s="701">
        <v>5</v>
      </c>
      <c r="I39" s="701">
        <v>55</v>
      </c>
      <c r="J39" s="701">
        <v>2</v>
      </c>
      <c r="K39" s="701">
        <v>110</v>
      </c>
      <c r="L39" s="701">
        <v>1</v>
      </c>
      <c r="M39" s="701">
        <v>55</v>
      </c>
      <c r="N39" s="701">
        <v>2</v>
      </c>
      <c r="O39" s="701">
        <v>110</v>
      </c>
      <c r="P39" s="723">
        <v>1</v>
      </c>
      <c r="Q39" s="702">
        <v>55</v>
      </c>
    </row>
    <row r="40" spans="1:17" ht="14.4" customHeight="1" x14ac:dyDescent="0.3">
      <c r="A40" s="696" t="s">
        <v>4157</v>
      </c>
      <c r="B40" s="697" t="s">
        <v>4171</v>
      </c>
      <c r="C40" s="697" t="s">
        <v>2708</v>
      </c>
      <c r="D40" s="697" t="s">
        <v>4190</v>
      </c>
      <c r="E40" s="697" t="s">
        <v>4192</v>
      </c>
      <c r="F40" s="701">
        <v>105</v>
      </c>
      <c r="G40" s="701">
        <v>5775</v>
      </c>
      <c r="H40" s="701">
        <v>1.1052631578947369</v>
      </c>
      <c r="I40" s="701">
        <v>55</v>
      </c>
      <c r="J40" s="701">
        <v>95</v>
      </c>
      <c r="K40" s="701">
        <v>5225</v>
      </c>
      <c r="L40" s="701">
        <v>1</v>
      </c>
      <c r="M40" s="701">
        <v>55</v>
      </c>
      <c r="N40" s="701">
        <v>86</v>
      </c>
      <c r="O40" s="701">
        <v>4730</v>
      </c>
      <c r="P40" s="723">
        <v>0.90526315789473688</v>
      </c>
      <c r="Q40" s="702">
        <v>55</v>
      </c>
    </row>
    <row r="41" spans="1:17" ht="14.4" customHeight="1" x14ac:dyDescent="0.3">
      <c r="A41" s="696" t="s">
        <v>4157</v>
      </c>
      <c r="B41" s="697" t="s">
        <v>4171</v>
      </c>
      <c r="C41" s="697" t="s">
        <v>2708</v>
      </c>
      <c r="D41" s="697" t="s">
        <v>4193</v>
      </c>
      <c r="E41" s="697" t="s">
        <v>4194</v>
      </c>
      <c r="F41" s="701">
        <v>2710</v>
      </c>
      <c r="G41" s="701">
        <v>208670</v>
      </c>
      <c r="H41" s="701">
        <v>0.98081795150199058</v>
      </c>
      <c r="I41" s="701">
        <v>77</v>
      </c>
      <c r="J41" s="701">
        <v>2763</v>
      </c>
      <c r="K41" s="701">
        <v>212751</v>
      </c>
      <c r="L41" s="701">
        <v>1</v>
      </c>
      <c r="M41" s="701">
        <v>77</v>
      </c>
      <c r="N41" s="701">
        <v>2836</v>
      </c>
      <c r="O41" s="701">
        <v>219293</v>
      </c>
      <c r="P41" s="723">
        <v>1.0307495616941871</v>
      </c>
      <c r="Q41" s="702">
        <v>77.324753173483785</v>
      </c>
    </row>
    <row r="42" spans="1:17" ht="14.4" customHeight="1" x14ac:dyDescent="0.3">
      <c r="A42" s="696" t="s">
        <v>4157</v>
      </c>
      <c r="B42" s="697" t="s">
        <v>4171</v>
      </c>
      <c r="C42" s="697" t="s">
        <v>2708</v>
      </c>
      <c r="D42" s="697" t="s">
        <v>4195</v>
      </c>
      <c r="E42" s="697" t="s">
        <v>4196</v>
      </c>
      <c r="F42" s="701">
        <v>124</v>
      </c>
      <c r="G42" s="701">
        <v>2976</v>
      </c>
      <c r="H42" s="701">
        <v>1.4761904761904763</v>
      </c>
      <c r="I42" s="701">
        <v>24</v>
      </c>
      <c r="J42" s="701">
        <v>84</v>
      </c>
      <c r="K42" s="701">
        <v>2016</v>
      </c>
      <c r="L42" s="701">
        <v>1</v>
      </c>
      <c r="M42" s="701">
        <v>24</v>
      </c>
      <c r="N42" s="701">
        <v>110</v>
      </c>
      <c r="O42" s="701">
        <v>2640</v>
      </c>
      <c r="P42" s="723">
        <v>1.3095238095238095</v>
      </c>
      <c r="Q42" s="702">
        <v>24</v>
      </c>
    </row>
    <row r="43" spans="1:17" ht="14.4" customHeight="1" x14ac:dyDescent="0.3">
      <c r="A43" s="696" t="s">
        <v>4157</v>
      </c>
      <c r="B43" s="697" t="s">
        <v>4171</v>
      </c>
      <c r="C43" s="697" t="s">
        <v>2708</v>
      </c>
      <c r="D43" s="697" t="s">
        <v>4197</v>
      </c>
      <c r="E43" s="697" t="s">
        <v>4198</v>
      </c>
      <c r="F43" s="701">
        <v>22</v>
      </c>
      <c r="G43" s="701">
        <v>1452</v>
      </c>
      <c r="H43" s="701">
        <v>1</v>
      </c>
      <c r="I43" s="701">
        <v>66</v>
      </c>
      <c r="J43" s="701">
        <v>22</v>
      </c>
      <c r="K43" s="701">
        <v>1452</v>
      </c>
      <c r="L43" s="701">
        <v>1</v>
      </c>
      <c r="M43" s="701">
        <v>66</v>
      </c>
      <c r="N43" s="701">
        <v>18</v>
      </c>
      <c r="O43" s="701">
        <v>1188</v>
      </c>
      <c r="P43" s="723">
        <v>0.81818181818181823</v>
      </c>
      <c r="Q43" s="702">
        <v>66</v>
      </c>
    </row>
    <row r="44" spans="1:17" ht="14.4" customHeight="1" x14ac:dyDescent="0.3">
      <c r="A44" s="696" t="s">
        <v>4157</v>
      </c>
      <c r="B44" s="697" t="s">
        <v>4171</v>
      </c>
      <c r="C44" s="697" t="s">
        <v>2708</v>
      </c>
      <c r="D44" s="697" t="s">
        <v>4199</v>
      </c>
      <c r="E44" s="697" t="s">
        <v>4200</v>
      </c>
      <c r="F44" s="701">
        <v>17</v>
      </c>
      <c r="G44" s="701">
        <v>5950</v>
      </c>
      <c r="H44" s="701"/>
      <c r="I44" s="701">
        <v>350</v>
      </c>
      <c r="J44" s="701"/>
      <c r="K44" s="701"/>
      <c r="L44" s="701"/>
      <c r="M44" s="701"/>
      <c r="N44" s="701">
        <v>87</v>
      </c>
      <c r="O44" s="701">
        <v>30450</v>
      </c>
      <c r="P44" s="723"/>
      <c r="Q44" s="702">
        <v>350</v>
      </c>
    </row>
    <row r="45" spans="1:17" ht="14.4" customHeight="1" x14ac:dyDescent="0.3">
      <c r="A45" s="696" t="s">
        <v>4157</v>
      </c>
      <c r="B45" s="697" t="s">
        <v>4171</v>
      </c>
      <c r="C45" s="697" t="s">
        <v>2708</v>
      </c>
      <c r="D45" s="697" t="s">
        <v>4201</v>
      </c>
      <c r="E45" s="697" t="s">
        <v>4202</v>
      </c>
      <c r="F45" s="701">
        <v>61</v>
      </c>
      <c r="G45" s="701">
        <v>1525</v>
      </c>
      <c r="H45" s="701">
        <v>1.3863636363636365</v>
      </c>
      <c r="I45" s="701">
        <v>25</v>
      </c>
      <c r="J45" s="701">
        <v>44</v>
      </c>
      <c r="K45" s="701">
        <v>1100</v>
      </c>
      <c r="L45" s="701">
        <v>1</v>
      </c>
      <c r="M45" s="701">
        <v>25</v>
      </c>
      <c r="N45" s="701">
        <v>68</v>
      </c>
      <c r="O45" s="701">
        <v>1700</v>
      </c>
      <c r="P45" s="723">
        <v>1.5454545454545454</v>
      </c>
      <c r="Q45" s="702">
        <v>25</v>
      </c>
    </row>
    <row r="46" spans="1:17" ht="14.4" customHeight="1" x14ac:dyDescent="0.3">
      <c r="A46" s="696" t="s">
        <v>4157</v>
      </c>
      <c r="B46" s="697" t="s">
        <v>4171</v>
      </c>
      <c r="C46" s="697" t="s">
        <v>2708</v>
      </c>
      <c r="D46" s="697" t="s">
        <v>4203</v>
      </c>
      <c r="E46" s="697" t="s">
        <v>4204</v>
      </c>
      <c r="F46" s="701">
        <v>310</v>
      </c>
      <c r="G46" s="701">
        <v>56110</v>
      </c>
      <c r="H46" s="701">
        <v>0.72769953051643188</v>
      </c>
      <c r="I46" s="701">
        <v>181</v>
      </c>
      <c r="J46" s="701">
        <v>426</v>
      </c>
      <c r="K46" s="701">
        <v>77106</v>
      </c>
      <c r="L46" s="701">
        <v>1</v>
      </c>
      <c r="M46" s="701">
        <v>181</v>
      </c>
      <c r="N46" s="701">
        <v>413</v>
      </c>
      <c r="O46" s="701">
        <v>74753</v>
      </c>
      <c r="P46" s="723">
        <v>0.96948356807511737</v>
      </c>
      <c r="Q46" s="702">
        <v>181</v>
      </c>
    </row>
    <row r="47" spans="1:17" ht="14.4" customHeight="1" x14ac:dyDescent="0.3">
      <c r="A47" s="696" t="s">
        <v>4157</v>
      </c>
      <c r="B47" s="697" t="s">
        <v>4171</v>
      </c>
      <c r="C47" s="697" t="s">
        <v>2708</v>
      </c>
      <c r="D47" s="697" t="s">
        <v>4203</v>
      </c>
      <c r="E47" s="697" t="s">
        <v>4205</v>
      </c>
      <c r="F47" s="701">
        <v>14</v>
      </c>
      <c r="G47" s="701">
        <v>2534</v>
      </c>
      <c r="H47" s="701"/>
      <c r="I47" s="701">
        <v>181</v>
      </c>
      <c r="J47" s="701"/>
      <c r="K47" s="701"/>
      <c r="L47" s="701"/>
      <c r="M47" s="701"/>
      <c r="N47" s="701"/>
      <c r="O47" s="701"/>
      <c r="P47" s="723"/>
      <c r="Q47" s="702"/>
    </row>
    <row r="48" spans="1:17" ht="14.4" customHeight="1" x14ac:dyDescent="0.3">
      <c r="A48" s="696" t="s">
        <v>4157</v>
      </c>
      <c r="B48" s="697" t="s">
        <v>4171</v>
      </c>
      <c r="C48" s="697" t="s">
        <v>2708</v>
      </c>
      <c r="D48" s="697" t="s">
        <v>4206</v>
      </c>
      <c r="E48" s="697" t="s">
        <v>4207</v>
      </c>
      <c r="F48" s="701">
        <v>154</v>
      </c>
      <c r="G48" s="701">
        <v>39116</v>
      </c>
      <c r="H48" s="701">
        <v>1.2125984251968505</v>
      </c>
      <c r="I48" s="701">
        <v>254</v>
      </c>
      <c r="J48" s="701">
        <v>127</v>
      </c>
      <c r="K48" s="701">
        <v>32258</v>
      </c>
      <c r="L48" s="701">
        <v>1</v>
      </c>
      <c r="M48" s="701">
        <v>254</v>
      </c>
      <c r="N48" s="701">
        <v>111</v>
      </c>
      <c r="O48" s="701">
        <v>28194</v>
      </c>
      <c r="P48" s="723">
        <v>0.87401574803149606</v>
      </c>
      <c r="Q48" s="702">
        <v>254</v>
      </c>
    </row>
    <row r="49" spans="1:17" ht="14.4" customHeight="1" x14ac:dyDescent="0.3">
      <c r="A49" s="696" t="s">
        <v>4157</v>
      </c>
      <c r="B49" s="697" t="s">
        <v>4171</v>
      </c>
      <c r="C49" s="697" t="s">
        <v>2708</v>
      </c>
      <c r="D49" s="697" t="s">
        <v>4206</v>
      </c>
      <c r="E49" s="697" t="s">
        <v>4208</v>
      </c>
      <c r="F49" s="701">
        <v>10</v>
      </c>
      <c r="G49" s="701">
        <v>2540</v>
      </c>
      <c r="H49" s="701"/>
      <c r="I49" s="701">
        <v>254</v>
      </c>
      <c r="J49" s="701"/>
      <c r="K49" s="701"/>
      <c r="L49" s="701"/>
      <c r="M49" s="701"/>
      <c r="N49" s="701">
        <v>23</v>
      </c>
      <c r="O49" s="701">
        <v>5842</v>
      </c>
      <c r="P49" s="723"/>
      <c r="Q49" s="702">
        <v>254</v>
      </c>
    </row>
    <row r="50" spans="1:17" ht="14.4" customHeight="1" x14ac:dyDescent="0.3">
      <c r="A50" s="696" t="s">
        <v>4157</v>
      </c>
      <c r="B50" s="697" t="s">
        <v>4171</v>
      </c>
      <c r="C50" s="697" t="s">
        <v>2708</v>
      </c>
      <c r="D50" s="697" t="s">
        <v>4209</v>
      </c>
      <c r="E50" s="697" t="s">
        <v>4210</v>
      </c>
      <c r="F50" s="701">
        <v>1</v>
      </c>
      <c r="G50" s="701">
        <v>268</v>
      </c>
      <c r="H50" s="701"/>
      <c r="I50" s="701">
        <v>268</v>
      </c>
      <c r="J50" s="701"/>
      <c r="K50" s="701"/>
      <c r="L50" s="701"/>
      <c r="M50" s="701"/>
      <c r="N50" s="701"/>
      <c r="O50" s="701"/>
      <c r="P50" s="723"/>
      <c r="Q50" s="702"/>
    </row>
    <row r="51" spans="1:17" ht="14.4" customHeight="1" x14ac:dyDescent="0.3">
      <c r="A51" s="696" t="s">
        <v>4157</v>
      </c>
      <c r="B51" s="697" t="s">
        <v>4171</v>
      </c>
      <c r="C51" s="697" t="s">
        <v>2708</v>
      </c>
      <c r="D51" s="697" t="s">
        <v>4211</v>
      </c>
      <c r="E51" s="697" t="s">
        <v>4212</v>
      </c>
      <c r="F51" s="701">
        <v>594</v>
      </c>
      <c r="G51" s="701">
        <v>128898</v>
      </c>
      <c r="H51" s="701">
        <v>0.84736091298145511</v>
      </c>
      <c r="I51" s="701">
        <v>217</v>
      </c>
      <c r="J51" s="701">
        <v>701</v>
      </c>
      <c r="K51" s="701">
        <v>152117</v>
      </c>
      <c r="L51" s="701">
        <v>1</v>
      </c>
      <c r="M51" s="701">
        <v>217</v>
      </c>
      <c r="N51" s="701">
        <v>689</v>
      </c>
      <c r="O51" s="701">
        <v>149513</v>
      </c>
      <c r="P51" s="723">
        <v>0.98288159771754635</v>
      </c>
      <c r="Q51" s="702">
        <v>217</v>
      </c>
    </row>
    <row r="52" spans="1:17" ht="14.4" customHeight="1" x14ac:dyDescent="0.3">
      <c r="A52" s="696" t="s">
        <v>4157</v>
      </c>
      <c r="B52" s="697" t="s">
        <v>4171</v>
      </c>
      <c r="C52" s="697" t="s">
        <v>2708</v>
      </c>
      <c r="D52" s="697" t="s">
        <v>4213</v>
      </c>
      <c r="E52" s="697" t="s">
        <v>4214</v>
      </c>
      <c r="F52" s="701">
        <v>4</v>
      </c>
      <c r="G52" s="701">
        <v>148</v>
      </c>
      <c r="H52" s="701"/>
      <c r="I52" s="701">
        <v>37</v>
      </c>
      <c r="J52" s="701"/>
      <c r="K52" s="701"/>
      <c r="L52" s="701"/>
      <c r="M52" s="701"/>
      <c r="N52" s="701"/>
      <c r="O52" s="701"/>
      <c r="P52" s="723"/>
      <c r="Q52" s="702"/>
    </row>
    <row r="53" spans="1:17" ht="14.4" customHeight="1" x14ac:dyDescent="0.3">
      <c r="A53" s="696" t="s">
        <v>4157</v>
      </c>
      <c r="B53" s="697" t="s">
        <v>4171</v>
      </c>
      <c r="C53" s="697" t="s">
        <v>2708</v>
      </c>
      <c r="D53" s="697" t="s">
        <v>4213</v>
      </c>
      <c r="E53" s="697" t="s">
        <v>4215</v>
      </c>
      <c r="F53" s="701">
        <v>5</v>
      </c>
      <c r="G53" s="701">
        <v>185</v>
      </c>
      <c r="H53" s="701">
        <v>5</v>
      </c>
      <c r="I53" s="701">
        <v>37</v>
      </c>
      <c r="J53" s="701">
        <v>1</v>
      </c>
      <c r="K53" s="701">
        <v>37</v>
      </c>
      <c r="L53" s="701">
        <v>1</v>
      </c>
      <c r="M53" s="701">
        <v>37</v>
      </c>
      <c r="N53" s="701">
        <v>1</v>
      </c>
      <c r="O53" s="701">
        <v>37</v>
      </c>
      <c r="P53" s="723">
        <v>1</v>
      </c>
      <c r="Q53" s="702">
        <v>37</v>
      </c>
    </row>
    <row r="54" spans="1:17" ht="14.4" customHeight="1" x14ac:dyDescent="0.3">
      <c r="A54" s="696" t="s">
        <v>4157</v>
      </c>
      <c r="B54" s="697" t="s">
        <v>4171</v>
      </c>
      <c r="C54" s="697" t="s">
        <v>2708</v>
      </c>
      <c r="D54" s="697" t="s">
        <v>4216</v>
      </c>
      <c r="E54" s="697" t="s">
        <v>4217</v>
      </c>
      <c r="F54" s="701">
        <v>1</v>
      </c>
      <c r="G54" s="701">
        <v>592</v>
      </c>
      <c r="H54" s="701">
        <v>1</v>
      </c>
      <c r="I54" s="701">
        <v>592</v>
      </c>
      <c r="J54" s="701">
        <v>1</v>
      </c>
      <c r="K54" s="701">
        <v>592</v>
      </c>
      <c r="L54" s="701">
        <v>1</v>
      </c>
      <c r="M54" s="701">
        <v>592</v>
      </c>
      <c r="N54" s="701"/>
      <c r="O54" s="701"/>
      <c r="P54" s="723"/>
      <c r="Q54" s="702"/>
    </row>
    <row r="55" spans="1:17" ht="14.4" customHeight="1" x14ac:dyDescent="0.3">
      <c r="A55" s="696" t="s">
        <v>4157</v>
      </c>
      <c r="B55" s="697" t="s">
        <v>4171</v>
      </c>
      <c r="C55" s="697" t="s">
        <v>2708</v>
      </c>
      <c r="D55" s="697" t="s">
        <v>4218</v>
      </c>
      <c r="E55" s="697" t="s">
        <v>4219</v>
      </c>
      <c r="F55" s="701">
        <v>2</v>
      </c>
      <c r="G55" s="701">
        <v>746</v>
      </c>
      <c r="H55" s="701"/>
      <c r="I55" s="701">
        <v>373</v>
      </c>
      <c r="J55" s="701"/>
      <c r="K55" s="701"/>
      <c r="L55" s="701"/>
      <c r="M55" s="701"/>
      <c r="N55" s="701"/>
      <c r="O55" s="701"/>
      <c r="P55" s="723"/>
      <c r="Q55" s="702"/>
    </row>
    <row r="56" spans="1:17" ht="14.4" customHeight="1" x14ac:dyDescent="0.3">
      <c r="A56" s="696" t="s">
        <v>4157</v>
      </c>
      <c r="B56" s="697" t="s">
        <v>4171</v>
      </c>
      <c r="C56" s="697" t="s">
        <v>2708</v>
      </c>
      <c r="D56" s="697" t="s">
        <v>4220</v>
      </c>
      <c r="E56" s="697" t="s">
        <v>4221</v>
      </c>
      <c r="F56" s="701">
        <v>17</v>
      </c>
      <c r="G56" s="701">
        <v>850</v>
      </c>
      <c r="H56" s="701">
        <v>0.62962962962962965</v>
      </c>
      <c r="I56" s="701">
        <v>50</v>
      </c>
      <c r="J56" s="701">
        <v>27</v>
      </c>
      <c r="K56" s="701">
        <v>1350</v>
      </c>
      <c r="L56" s="701">
        <v>1</v>
      </c>
      <c r="M56" s="701">
        <v>50</v>
      </c>
      <c r="N56" s="701">
        <v>15</v>
      </c>
      <c r="O56" s="701">
        <v>750</v>
      </c>
      <c r="P56" s="723">
        <v>0.55555555555555558</v>
      </c>
      <c r="Q56" s="702">
        <v>50</v>
      </c>
    </row>
    <row r="57" spans="1:17" ht="14.4" customHeight="1" x14ac:dyDescent="0.3">
      <c r="A57" s="696" t="s">
        <v>4157</v>
      </c>
      <c r="B57" s="697" t="s">
        <v>4171</v>
      </c>
      <c r="C57" s="697" t="s">
        <v>2708</v>
      </c>
      <c r="D57" s="697" t="s">
        <v>4222</v>
      </c>
      <c r="E57" s="697" t="s">
        <v>4223</v>
      </c>
      <c r="F57" s="701">
        <v>1</v>
      </c>
      <c r="G57" s="701">
        <v>547</v>
      </c>
      <c r="H57" s="701"/>
      <c r="I57" s="701">
        <v>547</v>
      </c>
      <c r="J57" s="701"/>
      <c r="K57" s="701"/>
      <c r="L57" s="701"/>
      <c r="M57" s="701"/>
      <c r="N57" s="701"/>
      <c r="O57" s="701"/>
      <c r="P57" s="723"/>
      <c r="Q57" s="702"/>
    </row>
    <row r="58" spans="1:17" ht="14.4" customHeight="1" x14ac:dyDescent="0.3">
      <c r="A58" s="696" t="s">
        <v>4157</v>
      </c>
      <c r="B58" s="697" t="s">
        <v>4171</v>
      </c>
      <c r="C58" s="697" t="s">
        <v>2708</v>
      </c>
      <c r="D58" s="697" t="s">
        <v>4224</v>
      </c>
      <c r="E58" s="697" t="s">
        <v>4225</v>
      </c>
      <c r="F58" s="701">
        <v>1</v>
      </c>
      <c r="G58" s="701">
        <v>736</v>
      </c>
      <c r="H58" s="701"/>
      <c r="I58" s="701">
        <v>736</v>
      </c>
      <c r="J58" s="701"/>
      <c r="K58" s="701"/>
      <c r="L58" s="701"/>
      <c r="M58" s="701"/>
      <c r="N58" s="701"/>
      <c r="O58" s="701"/>
      <c r="P58" s="723"/>
      <c r="Q58" s="702"/>
    </row>
    <row r="59" spans="1:17" ht="14.4" customHeight="1" x14ac:dyDescent="0.3">
      <c r="A59" s="696" t="s">
        <v>4157</v>
      </c>
      <c r="B59" s="697" t="s">
        <v>4171</v>
      </c>
      <c r="C59" s="697" t="s">
        <v>2708</v>
      </c>
      <c r="D59" s="697" t="s">
        <v>4226</v>
      </c>
      <c r="E59" s="697" t="s">
        <v>4227</v>
      </c>
      <c r="F59" s="701">
        <v>1</v>
      </c>
      <c r="G59" s="701">
        <v>329</v>
      </c>
      <c r="H59" s="701">
        <v>1</v>
      </c>
      <c r="I59" s="701">
        <v>329</v>
      </c>
      <c r="J59" s="701">
        <v>1</v>
      </c>
      <c r="K59" s="701">
        <v>329</v>
      </c>
      <c r="L59" s="701">
        <v>1</v>
      </c>
      <c r="M59" s="701">
        <v>329</v>
      </c>
      <c r="N59" s="701"/>
      <c r="O59" s="701"/>
      <c r="P59" s="723"/>
      <c r="Q59" s="702"/>
    </row>
    <row r="60" spans="1:17" ht="14.4" customHeight="1" x14ac:dyDescent="0.3">
      <c r="A60" s="696" t="s">
        <v>4157</v>
      </c>
      <c r="B60" s="697" t="s">
        <v>4171</v>
      </c>
      <c r="C60" s="697" t="s">
        <v>2708</v>
      </c>
      <c r="D60" s="697" t="s">
        <v>4226</v>
      </c>
      <c r="E60" s="697" t="s">
        <v>4228</v>
      </c>
      <c r="F60" s="701"/>
      <c r="G60" s="701"/>
      <c r="H60" s="701"/>
      <c r="I60" s="701"/>
      <c r="J60" s="701">
        <v>2</v>
      </c>
      <c r="K60" s="701">
        <v>658</v>
      </c>
      <c r="L60" s="701">
        <v>1</v>
      </c>
      <c r="M60" s="701">
        <v>329</v>
      </c>
      <c r="N60" s="701"/>
      <c r="O60" s="701"/>
      <c r="P60" s="723"/>
      <c r="Q60" s="702"/>
    </row>
    <row r="61" spans="1:17" ht="14.4" customHeight="1" x14ac:dyDescent="0.3">
      <c r="A61" s="696" t="s">
        <v>4157</v>
      </c>
      <c r="B61" s="697" t="s">
        <v>4171</v>
      </c>
      <c r="C61" s="697" t="s">
        <v>2708</v>
      </c>
      <c r="D61" s="697" t="s">
        <v>4229</v>
      </c>
      <c r="E61" s="697" t="s">
        <v>4230</v>
      </c>
      <c r="F61" s="701">
        <v>1</v>
      </c>
      <c r="G61" s="701">
        <v>346</v>
      </c>
      <c r="H61" s="701"/>
      <c r="I61" s="701">
        <v>346</v>
      </c>
      <c r="J61" s="701"/>
      <c r="K61" s="701"/>
      <c r="L61" s="701"/>
      <c r="M61" s="701"/>
      <c r="N61" s="701"/>
      <c r="O61" s="701"/>
      <c r="P61" s="723"/>
      <c r="Q61" s="702"/>
    </row>
    <row r="62" spans="1:17" ht="14.4" customHeight="1" x14ac:dyDescent="0.3">
      <c r="A62" s="696" t="s">
        <v>4157</v>
      </c>
      <c r="B62" s="697" t="s">
        <v>4171</v>
      </c>
      <c r="C62" s="697" t="s">
        <v>2708</v>
      </c>
      <c r="D62" s="697" t="s">
        <v>4231</v>
      </c>
      <c r="E62" s="697" t="s">
        <v>4232</v>
      </c>
      <c r="F62" s="701"/>
      <c r="G62" s="701"/>
      <c r="H62" s="701"/>
      <c r="I62" s="701"/>
      <c r="J62" s="701">
        <v>2</v>
      </c>
      <c r="K62" s="701">
        <v>464</v>
      </c>
      <c r="L62" s="701">
        <v>1</v>
      </c>
      <c r="M62" s="701">
        <v>232</v>
      </c>
      <c r="N62" s="701"/>
      <c r="O62" s="701"/>
      <c r="P62" s="723"/>
      <c r="Q62" s="702"/>
    </row>
    <row r="63" spans="1:17" ht="14.4" customHeight="1" x14ac:dyDescent="0.3">
      <c r="A63" s="696" t="s">
        <v>4157</v>
      </c>
      <c r="B63" s="697" t="s">
        <v>4171</v>
      </c>
      <c r="C63" s="697" t="s">
        <v>2708</v>
      </c>
      <c r="D63" s="697" t="s">
        <v>4231</v>
      </c>
      <c r="E63" s="697" t="s">
        <v>4233</v>
      </c>
      <c r="F63" s="701">
        <v>1</v>
      </c>
      <c r="G63" s="701">
        <v>232</v>
      </c>
      <c r="H63" s="701">
        <v>0.5</v>
      </c>
      <c r="I63" s="701">
        <v>232</v>
      </c>
      <c r="J63" s="701">
        <v>2</v>
      </c>
      <c r="K63" s="701">
        <v>464</v>
      </c>
      <c r="L63" s="701">
        <v>1</v>
      </c>
      <c r="M63" s="701">
        <v>232</v>
      </c>
      <c r="N63" s="701">
        <v>1</v>
      </c>
      <c r="O63" s="701">
        <v>232</v>
      </c>
      <c r="P63" s="723">
        <v>0.5</v>
      </c>
      <c r="Q63" s="702">
        <v>232</v>
      </c>
    </row>
    <row r="64" spans="1:17" ht="14.4" customHeight="1" x14ac:dyDescent="0.3">
      <c r="A64" s="696" t="s">
        <v>4157</v>
      </c>
      <c r="B64" s="697" t="s">
        <v>4171</v>
      </c>
      <c r="C64" s="697" t="s">
        <v>2708</v>
      </c>
      <c r="D64" s="697" t="s">
        <v>4234</v>
      </c>
      <c r="E64" s="697" t="s">
        <v>4235</v>
      </c>
      <c r="F64" s="701">
        <v>1</v>
      </c>
      <c r="G64" s="701">
        <v>233</v>
      </c>
      <c r="H64" s="701">
        <v>1</v>
      </c>
      <c r="I64" s="701">
        <v>233</v>
      </c>
      <c r="J64" s="701">
        <v>1</v>
      </c>
      <c r="K64" s="701">
        <v>233</v>
      </c>
      <c r="L64" s="701">
        <v>1</v>
      </c>
      <c r="M64" s="701">
        <v>233</v>
      </c>
      <c r="N64" s="701">
        <v>2</v>
      </c>
      <c r="O64" s="701">
        <v>466</v>
      </c>
      <c r="P64" s="723">
        <v>2</v>
      </c>
      <c r="Q64" s="702">
        <v>233</v>
      </c>
    </row>
    <row r="65" spans="1:17" ht="14.4" customHeight="1" x14ac:dyDescent="0.3">
      <c r="A65" s="696" t="s">
        <v>4157</v>
      </c>
      <c r="B65" s="697" t="s">
        <v>4171</v>
      </c>
      <c r="C65" s="697" t="s">
        <v>2708</v>
      </c>
      <c r="D65" s="697" t="s">
        <v>4236</v>
      </c>
      <c r="E65" s="697" t="s">
        <v>4237</v>
      </c>
      <c r="F65" s="701"/>
      <c r="G65" s="701"/>
      <c r="H65" s="701"/>
      <c r="I65" s="701"/>
      <c r="J65" s="701"/>
      <c r="K65" s="701"/>
      <c r="L65" s="701"/>
      <c r="M65" s="701"/>
      <c r="N65" s="701">
        <v>6</v>
      </c>
      <c r="O65" s="701">
        <v>2460</v>
      </c>
      <c r="P65" s="723"/>
      <c r="Q65" s="702">
        <v>410</v>
      </c>
    </row>
    <row r="66" spans="1:17" ht="14.4" customHeight="1" x14ac:dyDescent="0.3">
      <c r="A66" s="696" t="s">
        <v>4157</v>
      </c>
      <c r="B66" s="697" t="s">
        <v>4171</v>
      </c>
      <c r="C66" s="697" t="s">
        <v>2708</v>
      </c>
      <c r="D66" s="697" t="s">
        <v>4238</v>
      </c>
      <c r="E66" s="697" t="s">
        <v>4239</v>
      </c>
      <c r="F66" s="701"/>
      <c r="G66" s="701"/>
      <c r="H66" s="701"/>
      <c r="I66" s="701"/>
      <c r="J66" s="701"/>
      <c r="K66" s="701"/>
      <c r="L66" s="701"/>
      <c r="M66" s="701"/>
      <c r="N66" s="701">
        <v>3</v>
      </c>
      <c r="O66" s="701">
        <v>1956</v>
      </c>
      <c r="P66" s="723"/>
      <c r="Q66" s="702">
        <v>652</v>
      </c>
    </row>
    <row r="67" spans="1:17" ht="14.4" customHeight="1" x14ac:dyDescent="0.3">
      <c r="A67" s="696" t="s">
        <v>4157</v>
      </c>
      <c r="B67" s="697" t="s">
        <v>4171</v>
      </c>
      <c r="C67" s="697" t="s">
        <v>2708</v>
      </c>
      <c r="D67" s="697" t="s">
        <v>4240</v>
      </c>
      <c r="E67" s="697" t="s">
        <v>4241</v>
      </c>
      <c r="F67" s="701"/>
      <c r="G67" s="701"/>
      <c r="H67" s="701"/>
      <c r="I67" s="701"/>
      <c r="J67" s="701"/>
      <c r="K67" s="701"/>
      <c r="L67" s="701"/>
      <c r="M67" s="701"/>
      <c r="N67" s="701">
        <v>6</v>
      </c>
      <c r="O67" s="701">
        <v>3540</v>
      </c>
      <c r="P67" s="723"/>
      <c r="Q67" s="702">
        <v>590</v>
      </c>
    </row>
    <row r="68" spans="1:17" ht="14.4" customHeight="1" x14ac:dyDescent="0.3">
      <c r="A68" s="696" t="s">
        <v>4157</v>
      </c>
      <c r="B68" s="697" t="s">
        <v>4171</v>
      </c>
      <c r="C68" s="697" t="s">
        <v>2708</v>
      </c>
      <c r="D68" s="697" t="s">
        <v>4242</v>
      </c>
      <c r="E68" s="697" t="s">
        <v>4243</v>
      </c>
      <c r="F68" s="701"/>
      <c r="G68" s="701"/>
      <c r="H68" s="701"/>
      <c r="I68" s="701"/>
      <c r="J68" s="701">
        <v>2</v>
      </c>
      <c r="K68" s="701">
        <v>774</v>
      </c>
      <c r="L68" s="701">
        <v>1</v>
      </c>
      <c r="M68" s="701">
        <v>387</v>
      </c>
      <c r="N68" s="701">
        <v>6</v>
      </c>
      <c r="O68" s="701">
        <v>2322</v>
      </c>
      <c r="P68" s="723">
        <v>3</v>
      </c>
      <c r="Q68" s="702">
        <v>387</v>
      </c>
    </row>
    <row r="69" spans="1:17" ht="14.4" customHeight="1" x14ac:dyDescent="0.3">
      <c r="A69" s="696" t="s">
        <v>4157</v>
      </c>
      <c r="B69" s="697" t="s">
        <v>4171</v>
      </c>
      <c r="C69" s="697" t="s">
        <v>2708</v>
      </c>
      <c r="D69" s="697" t="s">
        <v>4242</v>
      </c>
      <c r="E69" s="697" t="s">
        <v>4244</v>
      </c>
      <c r="F69" s="701"/>
      <c r="G69" s="701"/>
      <c r="H69" s="701"/>
      <c r="I69" s="701"/>
      <c r="J69" s="701">
        <v>1</v>
      </c>
      <c r="K69" s="701">
        <v>387</v>
      </c>
      <c r="L69" s="701">
        <v>1</v>
      </c>
      <c r="M69" s="701">
        <v>387</v>
      </c>
      <c r="N69" s="701"/>
      <c r="O69" s="701"/>
      <c r="P69" s="723"/>
      <c r="Q69" s="702"/>
    </row>
    <row r="70" spans="1:17" ht="14.4" customHeight="1" x14ac:dyDescent="0.3">
      <c r="A70" s="696" t="s">
        <v>4157</v>
      </c>
      <c r="B70" s="697" t="s">
        <v>4171</v>
      </c>
      <c r="C70" s="697" t="s">
        <v>2708</v>
      </c>
      <c r="D70" s="697" t="s">
        <v>4245</v>
      </c>
      <c r="E70" s="697" t="s">
        <v>4246</v>
      </c>
      <c r="F70" s="701">
        <v>1</v>
      </c>
      <c r="G70" s="701">
        <v>224</v>
      </c>
      <c r="H70" s="701">
        <v>1</v>
      </c>
      <c r="I70" s="701">
        <v>224</v>
      </c>
      <c r="J70" s="701">
        <v>1</v>
      </c>
      <c r="K70" s="701">
        <v>224</v>
      </c>
      <c r="L70" s="701">
        <v>1</v>
      </c>
      <c r="M70" s="701">
        <v>224</v>
      </c>
      <c r="N70" s="701"/>
      <c r="O70" s="701"/>
      <c r="P70" s="723"/>
      <c r="Q70" s="702"/>
    </row>
    <row r="71" spans="1:17" ht="14.4" customHeight="1" x14ac:dyDescent="0.3">
      <c r="A71" s="696" t="s">
        <v>4157</v>
      </c>
      <c r="B71" s="697" t="s">
        <v>4171</v>
      </c>
      <c r="C71" s="697" t="s">
        <v>2708</v>
      </c>
      <c r="D71" s="697" t="s">
        <v>4245</v>
      </c>
      <c r="E71" s="697" t="s">
        <v>4247</v>
      </c>
      <c r="F71" s="701"/>
      <c r="G71" s="701"/>
      <c r="H71" s="701"/>
      <c r="I71" s="701"/>
      <c r="J71" s="701">
        <v>2</v>
      </c>
      <c r="K71" s="701">
        <v>448</v>
      </c>
      <c r="L71" s="701">
        <v>1</v>
      </c>
      <c r="M71" s="701">
        <v>224</v>
      </c>
      <c r="N71" s="701"/>
      <c r="O71" s="701"/>
      <c r="P71" s="723"/>
      <c r="Q71" s="702"/>
    </row>
    <row r="72" spans="1:17" ht="14.4" customHeight="1" x14ac:dyDescent="0.3">
      <c r="A72" s="696" t="s">
        <v>4157</v>
      </c>
      <c r="B72" s="697" t="s">
        <v>4171</v>
      </c>
      <c r="C72" s="697" t="s">
        <v>2708</v>
      </c>
      <c r="D72" s="697" t="s">
        <v>4248</v>
      </c>
      <c r="E72" s="697" t="s">
        <v>4249</v>
      </c>
      <c r="F72" s="701">
        <v>61</v>
      </c>
      <c r="G72" s="701">
        <v>14884</v>
      </c>
      <c r="H72" s="701">
        <v>8.7142857142857135</v>
      </c>
      <c r="I72" s="701">
        <v>244</v>
      </c>
      <c r="J72" s="701">
        <v>7</v>
      </c>
      <c r="K72" s="701">
        <v>1708</v>
      </c>
      <c r="L72" s="701">
        <v>1</v>
      </c>
      <c r="M72" s="701">
        <v>244</v>
      </c>
      <c r="N72" s="701">
        <v>8</v>
      </c>
      <c r="O72" s="701">
        <v>1952</v>
      </c>
      <c r="P72" s="723">
        <v>1.1428571428571428</v>
      </c>
      <c r="Q72" s="702">
        <v>244</v>
      </c>
    </row>
    <row r="73" spans="1:17" ht="14.4" customHeight="1" x14ac:dyDescent="0.3">
      <c r="A73" s="696" t="s">
        <v>4157</v>
      </c>
      <c r="B73" s="697" t="s">
        <v>4171</v>
      </c>
      <c r="C73" s="697" t="s">
        <v>2708</v>
      </c>
      <c r="D73" s="697" t="s">
        <v>4248</v>
      </c>
      <c r="E73" s="697" t="s">
        <v>4250</v>
      </c>
      <c r="F73" s="701"/>
      <c r="G73" s="701"/>
      <c r="H73" s="701"/>
      <c r="I73" s="701"/>
      <c r="J73" s="701">
        <v>79</v>
      </c>
      <c r="K73" s="701">
        <v>19276</v>
      </c>
      <c r="L73" s="701">
        <v>1</v>
      </c>
      <c r="M73" s="701">
        <v>244</v>
      </c>
      <c r="N73" s="701">
        <v>51</v>
      </c>
      <c r="O73" s="701">
        <v>12444</v>
      </c>
      <c r="P73" s="723">
        <v>0.64556962025316456</v>
      </c>
      <c r="Q73" s="702">
        <v>244</v>
      </c>
    </row>
    <row r="74" spans="1:17" ht="14.4" customHeight="1" x14ac:dyDescent="0.3">
      <c r="A74" s="696" t="s">
        <v>4251</v>
      </c>
      <c r="B74" s="697" t="s">
        <v>4252</v>
      </c>
      <c r="C74" s="697" t="s">
        <v>2708</v>
      </c>
      <c r="D74" s="697" t="s">
        <v>4253</v>
      </c>
      <c r="E74" s="697" t="s">
        <v>4254</v>
      </c>
      <c r="F74" s="701">
        <v>421</v>
      </c>
      <c r="G74" s="701">
        <v>11367</v>
      </c>
      <c r="H74" s="701">
        <v>0.96781609195402296</v>
      </c>
      <c r="I74" s="701">
        <v>27</v>
      </c>
      <c r="J74" s="701">
        <v>435</v>
      </c>
      <c r="K74" s="701">
        <v>11745</v>
      </c>
      <c r="L74" s="701">
        <v>1</v>
      </c>
      <c r="M74" s="701">
        <v>27</v>
      </c>
      <c r="N74" s="701">
        <v>413</v>
      </c>
      <c r="O74" s="701">
        <v>11273</v>
      </c>
      <c r="P74" s="723">
        <v>0.95981268624946781</v>
      </c>
      <c r="Q74" s="702">
        <v>27.295399515738499</v>
      </c>
    </row>
    <row r="75" spans="1:17" ht="14.4" customHeight="1" x14ac:dyDescent="0.3">
      <c r="A75" s="696" t="s">
        <v>4251</v>
      </c>
      <c r="B75" s="697" t="s">
        <v>4252</v>
      </c>
      <c r="C75" s="697" t="s">
        <v>2708</v>
      </c>
      <c r="D75" s="697" t="s">
        <v>4255</v>
      </c>
      <c r="E75" s="697" t="s">
        <v>4256</v>
      </c>
      <c r="F75" s="701">
        <v>6</v>
      </c>
      <c r="G75" s="701">
        <v>324</v>
      </c>
      <c r="H75" s="701"/>
      <c r="I75" s="701">
        <v>54</v>
      </c>
      <c r="J75" s="701"/>
      <c r="K75" s="701"/>
      <c r="L75" s="701"/>
      <c r="M75" s="701"/>
      <c r="N75" s="701"/>
      <c r="O75" s="701"/>
      <c r="P75" s="723"/>
      <c r="Q75" s="702"/>
    </row>
    <row r="76" spans="1:17" ht="14.4" customHeight="1" x14ac:dyDescent="0.3">
      <c r="A76" s="696" t="s">
        <v>4251</v>
      </c>
      <c r="B76" s="697" t="s">
        <v>4252</v>
      </c>
      <c r="C76" s="697" t="s">
        <v>2708</v>
      </c>
      <c r="D76" s="697" t="s">
        <v>4255</v>
      </c>
      <c r="E76" s="697" t="s">
        <v>4257</v>
      </c>
      <c r="F76" s="701">
        <v>454</v>
      </c>
      <c r="G76" s="701">
        <v>24516</v>
      </c>
      <c r="H76" s="701">
        <v>0.83150183150183155</v>
      </c>
      <c r="I76" s="701">
        <v>54</v>
      </c>
      <c r="J76" s="701">
        <v>546</v>
      </c>
      <c r="K76" s="701">
        <v>29484</v>
      </c>
      <c r="L76" s="701">
        <v>1</v>
      </c>
      <c r="M76" s="701">
        <v>54</v>
      </c>
      <c r="N76" s="701">
        <v>566</v>
      </c>
      <c r="O76" s="701">
        <v>30564</v>
      </c>
      <c r="P76" s="723">
        <v>1.0366300366300367</v>
      </c>
      <c r="Q76" s="702">
        <v>54</v>
      </c>
    </row>
    <row r="77" spans="1:17" ht="14.4" customHeight="1" x14ac:dyDescent="0.3">
      <c r="A77" s="696" t="s">
        <v>4251</v>
      </c>
      <c r="B77" s="697" t="s">
        <v>4252</v>
      </c>
      <c r="C77" s="697" t="s">
        <v>2708</v>
      </c>
      <c r="D77" s="697" t="s">
        <v>4258</v>
      </c>
      <c r="E77" s="697" t="s">
        <v>4259</v>
      </c>
      <c r="F77" s="701">
        <v>1349</v>
      </c>
      <c r="G77" s="701">
        <v>32376</v>
      </c>
      <c r="H77" s="701">
        <v>0.98467153284671538</v>
      </c>
      <c r="I77" s="701">
        <v>24</v>
      </c>
      <c r="J77" s="701">
        <v>1370</v>
      </c>
      <c r="K77" s="701">
        <v>32880</v>
      </c>
      <c r="L77" s="701">
        <v>1</v>
      </c>
      <c r="M77" s="701">
        <v>24</v>
      </c>
      <c r="N77" s="701">
        <v>1396</v>
      </c>
      <c r="O77" s="701">
        <v>33504</v>
      </c>
      <c r="P77" s="723">
        <v>1.018978102189781</v>
      </c>
      <c r="Q77" s="702">
        <v>24</v>
      </c>
    </row>
    <row r="78" spans="1:17" ht="14.4" customHeight="1" x14ac:dyDescent="0.3">
      <c r="A78" s="696" t="s">
        <v>4251</v>
      </c>
      <c r="B78" s="697" t="s">
        <v>4252</v>
      </c>
      <c r="C78" s="697" t="s">
        <v>2708</v>
      </c>
      <c r="D78" s="697" t="s">
        <v>4260</v>
      </c>
      <c r="E78" s="697" t="s">
        <v>4261</v>
      </c>
      <c r="F78" s="701">
        <v>1869</v>
      </c>
      <c r="G78" s="701">
        <v>50463</v>
      </c>
      <c r="H78" s="701">
        <v>1.0201965065502183</v>
      </c>
      <c r="I78" s="701">
        <v>27</v>
      </c>
      <c r="J78" s="701">
        <v>1832</v>
      </c>
      <c r="K78" s="701">
        <v>49464</v>
      </c>
      <c r="L78" s="701">
        <v>1</v>
      </c>
      <c r="M78" s="701">
        <v>27</v>
      </c>
      <c r="N78" s="701">
        <v>1822</v>
      </c>
      <c r="O78" s="701">
        <v>49194</v>
      </c>
      <c r="P78" s="723">
        <v>0.99454148471615722</v>
      </c>
      <c r="Q78" s="702">
        <v>27</v>
      </c>
    </row>
    <row r="79" spans="1:17" ht="14.4" customHeight="1" x14ac:dyDescent="0.3">
      <c r="A79" s="696" t="s">
        <v>4251</v>
      </c>
      <c r="B79" s="697" t="s">
        <v>4252</v>
      </c>
      <c r="C79" s="697" t="s">
        <v>2708</v>
      </c>
      <c r="D79" s="697" t="s">
        <v>4262</v>
      </c>
      <c r="E79" s="697" t="s">
        <v>4263</v>
      </c>
      <c r="F79" s="701"/>
      <c r="G79" s="701"/>
      <c r="H79" s="701"/>
      <c r="I79" s="701"/>
      <c r="J79" s="701"/>
      <c r="K79" s="701"/>
      <c r="L79" s="701"/>
      <c r="M79" s="701"/>
      <c r="N79" s="701">
        <v>6</v>
      </c>
      <c r="O79" s="701">
        <v>342</v>
      </c>
      <c r="P79" s="723"/>
      <c r="Q79" s="702">
        <v>57</v>
      </c>
    </row>
    <row r="80" spans="1:17" ht="14.4" customHeight="1" x14ac:dyDescent="0.3">
      <c r="A80" s="696" t="s">
        <v>4251</v>
      </c>
      <c r="B80" s="697" t="s">
        <v>4252</v>
      </c>
      <c r="C80" s="697" t="s">
        <v>2708</v>
      </c>
      <c r="D80" s="697" t="s">
        <v>4264</v>
      </c>
      <c r="E80" s="697" t="s">
        <v>4265</v>
      </c>
      <c r="F80" s="701">
        <v>362</v>
      </c>
      <c r="G80" s="701">
        <v>9774</v>
      </c>
      <c r="H80" s="701">
        <v>0.91414141414141414</v>
      </c>
      <c r="I80" s="701">
        <v>27</v>
      </c>
      <c r="J80" s="701">
        <v>396</v>
      </c>
      <c r="K80" s="701">
        <v>10692</v>
      </c>
      <c r="L80" s="701">
        <v>1</v>
      </c>
      <c r="M80" s="701">
        <v>27</v>
      </c>
      <c r="N80" s="701">
        <v>413</v>
      </c>
      <c r="O80" s="701">
        <v>11151</v>
      </c>
      <c r="P80" s="723">
        <v>1.042929292929293</v>
      </c>
      <c r="Q80" s="702">
        <v>27</v>
      </c>
    </row>
    <row r="81" spans="1:17" ht="14.4" customHeight="1" x14ac:dyDescent="0.3">
      <c r="A81" s="696" t="s">
        <v>4251</v>
      </c>
      <c r="B81" s="697" t="s">
        <v>4252</v>
      </c>
      <c r="C81" s="697" t="s">
        <v>2708</v>
      </c>
      <c r="D81" s="697" t="s">
        <v>4266</v>
      </c>
      <c r="E81" s="697" t="s">
        <v>4267</v>
      </c>
      <c r="F81" s="701">
        <v>5940</v>
      </c>
      <c r="G81" s="701">
        <v>130680</v>
      </c>
      <c r="H81" s="701">
        <v>0.95040000000000002</v>
      </c>
      <c r="I81" s="701">
        <v>22</v>
      </c>
      <c r="J81" s="701">
        <v>6250</v>
      </c>
      <c r="K81" s="701">
        <v>137500</v>
      </c>
      <c r="L81" s="701">
        <v>1</v>
      </c>
      <c r="M81" s="701">
        <v>22</v>
      </c>
      <c r="N81" s="701">
        <v>6177</v>
      </c>
      <c r="O81" s="701">
        <v>137938</v>
      </c>
      <c r="P81" s="723">
        <v>1.0031854545454546</v>
      </c>
      <c r="Q81" s="702">
        <v>22.330904970050184</v>
      </c>
    </row>
    <row r="82" spans="1:17" ht="14.4" customHeight="1" x14ac:dyDescent="0.3">
      <c r="A82" s="696" t="s">
        <v>4251</v>
      </c>
      <c r="B82" s="697" t="s">
        <v>4252</v>
      </c>
      <c r="C82" s="697" t="s">
        <v>2708</v>
      </c>
      <c r="D82" s="697" t="s">
        <v>4268</v>
      </c>
      <c r="E82" s="697" t="s">
        <v>4269</v>
      </c>
      <c r="F82" s="701">
        <v>2</v>
      </c>
      <c r="G82" s="701">
        <v>136</v>
      </c>
      <c r="H82" s="701">
        <v>0.4</v>
      </c>
      <c r="I82" s="701">
        <v>68</v>
      </c>
      <c r="J82" s="701">
        <v>5</v>
      </c>
      <c r="K82" s="701">
        <v>340</v>
      </c>
      <c r="L82" s="701">
        <v>1</v>
      </c>
      <c r="M82" s="701">
        <v>68</v>
      </c>
      <c r="N82" s="701">
        <v>1</v>
      </c>
      <c r="O82" s="701">
        <v>69</v>
      </c>
      <c r="P82" s="723">
        <v>0.20294117647058824</v>
      </c>
      <c r="Q82" s="702">
        <v>69</v>
      </c>
    </row>
    <row r="83" spans="1:17" ht="14.4" customHeight="1" x14ac:dyDescent="0.3">
      <c r="A83" s="696" t="s">
        <v>4251</v>
      </c>
      <c r="B83" s="697" t="s">
        <v>4252</v>
      </c>
      <c r="C83" s="697" t="s">
        <v>2708</v>
      </c>
      <c r="D83" s="697" t="s">
        <v>4268</v>
      </c>
      <c r="E83" s="697" t="s">
        <v>4270</v>
      </c>
      <c r="F83" s="701">
        <v>10</v>
      </c>
      <c r="G83" s="701">
        <v>680</v>
      </c>
      <c r="H83" s="701">
        <v>1.4285714285714286</v>
      </c>
      <c r="I83" s="701">
        <v>68</v>
      </c>
      <c r="J83" s="701">
        <v>7</v>
      </c>
      <c r="K83" s="701">
        <v>476</v>
      </c>
      <c r="L83" s="701">
        <v>1</v>
      </c>
      <c r="M83" s="701">
        <v>68</v>
      </c>
      <c r="N83" s="701">
        <v>11</v>
      </c>
      <c r="O83" s="701">
        <v>750</v>
      </c>
      <c r="P83" s="723">
        <v>1.5756302521008403</v>
      </c>
      <c r="Q83" s="702">
        <v>68.181818181818187</v>
      </c>
    </row>
    <row r="84" spans="1:17" ht="14.4" customHeight="1" x14ac:dyDescent="0.3">
      <c r="A84" s="696" t="s">
        <v>4251</v>
      </c>
      <c r="B84" s="697" t="s">
        <v>4252</v>
      </c>
      <c r="C84" s="697" t="s">
        <v>2708</v>
      </c>
      <c r="D84" s="697" t="s">
        <v>4271</v>
      </c>
      <c r="E84" s="697" t="s">
        <v>4272</v>
      </c>
      <c r="F84" s="701">
        <v>3</v>
      </c>
      <c r="G84" s="701">
        <v>186</v>
      </c>
      <c r="H84" s="701"/>
      <c r="I84" s="701">
        <v>62</v>
      </c>
      <c r="J84" s="701"/>
      <c r="K84" s="701"/>
      <c r="L84" s="701"/>
      <c r="M84" s="701"/>
      <c r="N84" s="701"/>
      <c r="O84" s="701"/>
      <c r="P84" s="723"/>
      <c r="Q84" s="702"/>
    </row>
    <row r="85" spans="1:17" ht="14.4" customHeight="1" x14ac:dyDescent="0.3">
      <c r="A85" s="696" t="s">
        <v>4251</v>
      </c>
      <c r="B85" s="697" t="s">
        <v>4252</v>
      </c>
      <c r="C85" s="697" t="s">
        <v>2708</v>
      </c>
      <c r="D85" s="697" t="s">
        <v>4273</v>
      </c>
      <c r="E85" s="697" t="s">
        <v>4274</v>
      </c>
      <c r="F85" s="701">
        <v>4999</v>
      </c>
      <c r="G85" s="701">
        <v>309938</v>
      </c>
      <c r="H85" s="701">
        <v>0.8751750700280112</v>
      </c>
      <c r="I85" s="701">
        <v>62</v>
      </c>
      <c r="J85" s="701">
        <v>5712</v>
      </c>
      <c r="K85" s="701">
        <v>354144</v>
      </c>
      <c r="L85" s="701">
        <v>1</v>
      </c>
      <c r="M85" s="701">
        <v>62</v>
      </c>
      <c r="N85" s="701">
        <v>5719</v>
      </c>
      <c r="O85" s="701">
        <v>354578</v>
      </c>
      <c r="P85" s="723">
        <v>1.0012254901960784</v>
      </c>
      <c r="Q85" s="702">
        <v>62</v>
      </c>
    </row>
    <row r="86" spans="1:17" ht="14.4" customHeight="1" x14ac:dyDescent="0.3">
      <c r="A86" s="696" t="s">
        <v>4251</v>
      </c>
      <c r="B86" s="697" t="s">
        <v>4252</v>
      </c>
      <c r="C86" s="697" t="s">
        <v>2708</v>
      </c>
      <c r="D86" s="697" t="s">
        <v>4275</v>
      </c>
      <c r="E86" s="697" t="s">
        <v>4276</v>
      </c>
      <c r="F86" s="701"/>
      <c r="G86" s="701"/>
      <c r="H86" s="701"/>
      <c r="I86" s="701"/>
      <c r="J86" s="701">
        <v>1</v>
      </c>
      <c r="K86" s="701">
        <v>394</v>
      </c>
      <c r="L86" s="701">
        <v>1</v>
      </c>
      <c r="M86" s="701">
        <v>394</v>
      </c>
      <c r="N86" s="701"/>
      <c r="O86" s="701"/>
      <c r="P86" s="723"/>
      <c r="Q86" s="702"/>
    </row>
    <row r="87" spans="1:17" ht="14.4" customHeight="1" x14ac:dyDescent="0.3">
      <c r="A87" s="696" t="s">
        <v>4251</v>
      </c>
      <c r="B87" s="697" t="s">
        <v>4252</v>
      </c>
      <c r="C87" s="697" t="s">
        <v>2708</v>
      </c>
      <c r="D87" s="697" t="s">
        <v>4275</v>
      </c>
      <c r="E87" s="697" t="s">
        <v>4277</v>
      </c>
      <c r="F87" s="701"/>
      <c r="G87" s="701"/>
      <c r="H87" s="701"/>
      <c r="I87" s="701"/>
      <c r="J87" s="701">
        <v>2</v>
      </c>
      <c r="K87" s="701">
        <v>788</v>
      </c>
      <c r="L87" s="701">
        <v>1</v>
      </c>
      <c r="M87" s="701">
        <v>394</v>
      </c>
      <c r="N87" s="701">
        <v>1</v>
      </c>
      <c r="O87" s="701">
        <v>394</v>
      </c>
      <c r="P87" s="723">
        <v>0.5</v>
      </c>
      <c r="Q87" s="702">
        <v>394</v>
      </c>
    </row>
    <row r="88" spans="1:17" ht="14.4" customHeight="1" x14ac:dyDescent="0.3">
      <c r="A88" s="696" t="s">
        <v>4251</v>
      </c>
      <c r="B88" s="697" t="s">
        <v>4252</v>
      </c>
      <c r="C88" s="697" t="s">
        <v>2708</v>
      </c>
      <c r="D88" s="697" t="s">
        <v>4278</v>
      </c>
      <c r="E88" s="697" t="s">
        <v>4279</v>
      </c>
      <c r="F88" s="701">
        <v>4</v>
      </c>
      <c r="G88" s="701">
        <v>328</v>
      </c>
      <c r="H88" s="701"/>
      <c r="I88" s="701">
        <v>82</v>
      </c>
      <c r="J88" s="701"/>
      <c r="K88" s="701"/>
      <c r="L88" s="701"/>
      <c r="M88" s="701"/>
      <c r="N88" s="701">
        <v>6</v>
      </c>
      <c r="O88" s="701">
        <v>494</v>
      </c>
      <c r="P88" s="723"/>
      <c r="Q88" s="702">
        <v>82.333333333333329</v>
      </c>
    </row>
    <row r="89" spans="1:17" ht="14.4" customHeight="1" x14ac:dyDescent="0.3">
      <c r="A89" s="696" t="s">
        <v>4251</v>
      </c>
      <c r="B89" s="697" t="s">
        <v>4252</v>
      </c>
      <c r="C89" s="697" t="s">
        <v>2708</v>
      </c>
      <c r="D89" s="697" t="s">
        <v>4278</v>
      </c>
      <c r="E89" s="697" t="s">
        <v>4280</v>
      </c>
      <c r="F89" s="701">
        <v>2</v>
      </c>
      <c r="G89" s="701">
        <v>164</v>
      </c>
      <c r="H89" s="701">
        <v>0.33333333333333331</v>
      </c>
      <c r="I89" s="701">
        <v>82</v>
      </c>
      <c r="J89" s="701">
        <v>6</v>
      </c>
      <c r="K89" s="701">
        <v>492</v>
      </c>
      <c r="L89" s="701">
        <v>1</v>
      </c>
      <c r="M89" s="701">
        <v>82</v>
      </c>
      <c r="N89" s="701">
        <v>1</v>
      </c>
      <c r="O89" s="701">
        <v>83</v>
      </c>
      <c r="P89" s="723">
        <v>0.16869918699186992</v>
      </c>
      <c r="Q89" s="702">
        <v>83</v>
      </c>
    </row>
    <row r="90" spans="1:17" ht="14.4" customHeight="1" x14ac:dyDescent="0.3">
      <c r="A90" s="696" t="s">
        <v>4251</v>
      </c>
      <c r="B90" s="697" t="s">
        <v>4252</v>
      </c>
      <c r="C90" s="697" t="s">
        <v>2708</v>
      </c>
      <c r="D90" s="697" t="s">
        <v>4281</v>
      </c>
      <c r="E90" s="697" t="s">
        <v>4282</v>
      </c>
      <c r="F90" s="701">
        <v>166</v>
      </c>
      <c r="G90" s="701">
        <v>164008</v>
      </c>
      <c r="H90" s="701">
        <v>0.87368421052631584</v>
      </c>
      <c r="I90" s="701">
        <v>988</v>
      </c>
      <c r="J90" s="701">
        <v>190</v>
      </c>
      <c r="K90" s="701">
        <v>187720</v>
      </c>
      <c r="L90" s="701">
        <v>1</v>
      </c>
      <c r="M90" s="701">
        <v>988</v>
      </c>
      <c r="N90" s="701">
        <v>127</v>
      </c>
      <c r="O90" s="701">
        <v>125476</v>
      </c>
      <c r="P90" s="723">
        <v>0.66842105263157892</v>
      </c>
      <c r="Q90" s="702">
        <v>988</v>
      </c>
    </row>
    <row r="91" spans="1:17" ht="14.4" customHeight="1" x14ac:dyDescent="0.3">
      <c r="A91" s="696" t="s">
        <v>4251</v>
      </c>
      <c r="B91" s="697" t="s">
        <v>4252</v>
      </c>
      <c r="C91" s="697" t="s">
        <v>2708</v>
      </c>
      <c r="D91" s="697" t="s">
        <v>4281</v>
      </c>
      <c r="E91" s="697" t="s">
        <v>4283</v>
      </c>
      <c r="F91" s="701">
        <v>2</v>
      </c>
      <c r="G91" s="701">
        <v>1976</v>
      </c>
      <c r="H91" s="701"/>
      <c r="I91" s="701">
        <v>988</v>
      </c>
      <c r="J91" s="701"/>
      <c r="K91" s="701"/>
      <c r="L91" s="701"/>
      <c r="M91" s="701"/>
      <c r="N91" s="701"/>
      <c r="O91" s="701"/>
      <c r="P91" s="723"/>
      <c r="Q91" s="702"/>
    </row>
    <row r="92" spans="1:17" ht="14.4" customHeight="1" x14ac:dyDescent="0.3">
      <c r="A92" s="696" t="s">
        <v>4251</v>
      </c>
      <c r="B92" s="697" t="s">
        <v>4252</v>
      </c>
      <c r="C92" s="697" t="s">
        <v>2708</v>
      </c>
      <c r="D92" s="697" t="s">
        <v>4284</v>
      </c>
      <c r="E92" s="697" t="s">
        <v>4285</v>
      </c>
      <c r="F92" s="701"/>
      <c r="G92" s="701"/>
      <c r="H92" s="701"/>
      <c r="I92" s="701"/>
      <c r="J92" s="701">
        <v>1</v>
      </c>
      <c r="K92" s="701">
        <v>191</v>
      </c>
      <c r="L92" s="701">
        <v>1</v>
      </c>
      <c r="M92" s="701">
        <v>191</v>
      </c>
      <c r="N92" s="701">
        <v>1</v>
      </c>
      <c r="O92" s="701">
        <v>191</v>
      </c>
      <c r="P92" s="723">
        <v>1</v>
      </c>
      <c r="Q92" s="702">
        <v>191</v>
      </c>
    </row>
    <row r="93" spans="1:17" ht="14.4" customHeight="1" x14ac:dyDescent="0.3">
      <c r="A93" s="696" t="s">
        <v>4251</v>
      </c>
      <c r="B93" s="697" t="s">
        <v>4252</v>
      </c>
      <c r="C93" s="697" t="s">
        <v>2708</v>
      </c>
      <c r="D93" s="697" t="s">
        <v>4284</v>
      </c>
      <c r="E93" s="697" t="s">
        <v>4286</v>
      </c>
      <c r="F93" s="701">
        <v>1</v>
      </c>
      <c r="G93" s="701">
        <v>191</v>
      </c>
      <c r="H93" s="701"/>
      <c r="I93" s="701">
        <v>191</v>
      </c>
      <c r="J93" s="701"/>
      <c r="K93" s="701"/>
      <c r="L93" s="701"/>
      <c r="M93" s="701"/>
      <c r="N93" s="701"/>
      <c r="O93" s="701"/>
      <c r="P93" s="723"/>
      <c r="Q93" s="702"/>
    </row>
    <row r="94" spans="1:17" ht="14.4" customHeight="1" x14ac:dyDescent="0.3">
      <c r="A94" s="696" t="s">
        <v>4251</v>
      </c>
      <c r="B94" s="697" t="s">
        <v>4252</v>
      </c>
      <c r="C94" s="697" t="s">
        <v>2708</v>
      </c>
      <c r="D94" s="697" t="s">
        <v>4287</v>
      </c>
      <c r="E94" s="697" t="s">
        <v>4288</v>
      </c>
      <c r="F94" s="701">
        <v>8</v>
      </c>
      <c r="G94" s="701">
        <v>656</v>
      </c>
      <c r="H94" s="701">
        <v>0.66666666666666663</v>
      </c>
      <c r="I94" s="701">
        <v>82</v>
      </c>
      <c r="J94" s="701">
        <v>12</v>
      </c>
      <c r="K94" s="701">
        <v>984</v>
      </c>
      <c r="L94" s="701">
        <v>1</v>
      </c>
      <c r="M94" s="701">
        <v>82</v>
      </c>
      <c r="N94" s="701">
        <v>10</v>
      </c>
      <c r="O94" s="701">
        <v>820</v>
      </c>
      <c r="P94" s="723">
        <v>0.83333333333333337</v>
      </c>
      <c r="Q94" s="702">
        <v>82</v>
      </c>
    </row>
    <row r="95" spans="1:17" ht="14.4" customHeight="1" x14ac:dyDescent="0.3">
      <c r="A95" s="696" t="s">
        <v>4251</v>
      </c>
      <c r="B95" s="697" t="s">
        <v>4252</v>
      </c>
      <c r="C95" s="697" t="s">
        <v>2708</v>
      </c>
      <c r="D95" s="697" t="s">
        <v>4287</v>
      </c>
      <c r="E95" s="697" t="s">
        <v>4289</v>
      </c>
      <c r="F95" s="701">
        <v>9</v>
      </c>
      <c r="G95" s="701">
        <v>738</v>
      </c>
      <c r="H95" s="701">
        <v>1.5</v>
      </c>
      <c r="I95" s="701">
        <v>82</v>
      </c>
      <c r="J95" s="701">
        <v>6</v>
      </c>
      <c r="K95" s="701">
        <v>492</v>
      </c>
      <c r="L95" s="701">
        <v>1</v>
      </c>
      <c r="M95" s="701">
        <v>82</v>
      </c>
      <c r="N95" s="701">
        <v>3</v>
      </c>
      <c r="O95" s="701">
        <v>246</v>
      </c>
      <c r="P95" s="723">
        <v>0.5</v>
      </c>
      <c r="Q95" s="702">
        <v>82</v>
      </c>
    </row>
    <row r="96" spans="1:17" ht="14.4" customHeight="1" x14ac:dyDescent="0.3">
      <c r="A96" s="696" t="s">
        <v>4251</v>
      </c>
      <c r="B96" s="697" t="s">
        <v>4252</v>
      </c>
      <c r="C96" s="697" t="s">
        <v>2708</v>
      </c>
      <c r="D96" s="697" t="s">
        <v>4290</v>
      </c>
      <c r="E96" s="697" t="s">
        <v>4291</v>
      </c>
      <c r="F96" s="701">
        <v>10</v>
      </c>
      <c r="G96" s="701">
        <v>630</v>
      </c>
      <c r="H96" s="701">
        <v>10</v>
      </c>
      <c r="I96" s="701">
        <v>63</v>
      </c>
      <c r="J96" s="701">
        <v>1</v>
      </c>
      <c r="K96" s="701">
        <v>63</v>
      </c>
      <c r="L96" s="701">
        <v>1</v>
      </c>
      <c r="M96" s="701">
        <v>63</v>
      </c>
      <c r="N96" s="701">
        <v>15</v>
      </c>
      <c r="O96" s="701">
        <v>948</v>
      </c>
      <c r="P96" s="723">
        <v>15.047619047619047</v>
      </c>
      <c r="Q96" s="702">
        <v>63.2</v>
      </c>
    </row>
    <row r="97" spans="1:17" ht="14.4" customHeight="1" x14ac:dyDescent="0.3">
      <c r="A97" s="696" t="s">
        <v>4251</v>
      </c>
      <c r="B97" s="697" t="s">
        <v>4252</v>
      </c>
      <c r="C97" s="697" t="s">
        <v>2708</v>
      </c>
      <c r="D97" s="697" t="s">
        <v>4290</v>
      </c>
      <c r="E97" s="697" t="s">
        <v>4292</v>
      </c>
      <c r="F97" s="701">
        <v>16</v>
      </c>
      <c r="G97" s="701">
        <v>1008</v>
      </c>
      <c r="H97" s="701">
        <v>1.4545454545454546</v>
      </c>
      <c r="I97" s="701">
        <v>63</v>
      </c>
      <c r="J97" s="701">
        <v>11</v>
      </c>
      <c r="K97" s="701">
        <v>693</v>
      </c>
      <c r="L97" s="701">
        <v>1</v>
      </c>
      <c r="M97" s="701">
        <v>63</v>
      </c>
      <c r="N97" s="701">
        <v>3</v>
      </c>
      <c r="O97" s="701">
        <v>189</v>
      </c>
      <c r="P97" s="723">
        <v>0.27272727272727271</v>
      </c>
      <c r="Q97" s="702">
        <v>63</v>
      </c>
    </row>
    <row r="98" spans="1:17" ht="14.4" customHeight="1" x14ac:dyDescent="0.3">
      <c r="A98" s="696" t="s">
        <v>4251</v>
      </c>
      <c r="B98" s="697" t="s">
        <v>4252</v>
      </c>
      <c r="C98" s="697" t="s">
        <v>2708</v>
      </c>
      <c r="D98" s="697" t="s">
        <v>4293</v>
      </c>
      <c r="E98" s="697" t="s">
        <v>4294</v>
      </c>
      <c r="F98" s="701">
        <v>839</v>
      </c>
      <c r="G98" s="701">
        <v>14263</v>
      </c>
      <c r="H98" s="701">
        <v>0.90997830802603041</v>
      </c>
      <c r="I98" s="701">
        <v>17</v>
      </c>
      <c r="J98" s="701">
        <v>922</v>
      </c>
      <c r="K98" s="701">
        <v>15674</v>
      </c>
      <c r="L98" s="701">
        <v>1</v>
      </c>
      <c r="M98" s="701">
        <v>17</v>
      </c>
      <c r="N98" s="701">
        <v>965</v>
      </c>
      <c r="O98" s="701">
        <v>16405</v>
      </c>
      <c r="P98" s="723">
        <v>1.0466377440347072</v>
      </c>
      <c r="Q98" s="702">
        <v>17</v>
      </c>
    </row>
    <row r="99" spans="1:17" ht="14.4" customHeight="1" x14ac:dyDescent="0.3">
      <c r="A99" s="696" t="s">
        <v>4251</v>
      </c>
      <c r="B99" s="697" t="s">
        <v>4252</v>
      </c>
      <c r="C99" s="697" t="s">
        <v>2708</v>
      </c>
      <c r="D99" s="697" t="s">
        <v>4295</v>
      </c>
      <c r="E99" s="697" t="s">
        <v>4296</v>
      </c>
      <c r="F99" s="701">
        <v>1</v>
      </c>
      <c r="G99" s="701">
        <v>64</v>
      </c>
      <c r="H99" s="701"/>
      <c r="I99" s="701">
        <v>64</v>
      </c>
      <c r="J99" s="701"/>
      <c r="K99" s="701"/>
      <c r="L99" s="701"/>
      <c r="M99" s="701"/>
      <c r="N99" s="701">
        <v>4</v>
      </c>
      <c r="O99" s="701">
        <v>256</v>
      </c>
      <c r="P99" s="723"/>
      <c r="Q99" s="702">
        <v>64</v>
      </c>
    </row>
    <row r="100" spans="1:17" ht="14.4" customHeight="1" x14ac:dyDescent="0.3">
      <c r="A100" s="696" t="s">
        <v>4251</v>
      </c>
      <c r="B100" s="697" t="s">
        <v>4252</v>
      </c>
      <c r="C100" s="697" t="s">
        <v>2708</v>
      </c>
      <c r="D100" s="697" t="s">
        <v>4295</v>
      </c>
      <c r="E100" s="697" t="s">
        <v>4297</v>
      </c>
      <c r="F100" s="701">
        <v>2</v>
      </c>
      <c r="G100" s="701">
        <v>128</v>
      </c>
      <c r="H100" s="701">
        <v>2</v>
      </c>
      <c r="I100" s="701">
        <v>64</v>
      </c>
      <c r="J100" s="701">
        <v>1</v>
      </c>
      <c r="K100" s="701">
        <v>64</v>
      </c>
      <c r="L100" s="701">
        <v>1</v>
      </c>
      <c r="M100" s="701">
        <v>64</v>
      </c>
      <c r="N100" s="701"/>
      <c r="O100" s="701"/>
      <c r="P100" s="723"/>
      <c r="Q100" s="702"/>
    </row>
    <row r="101" spans="1:17" ht="14.4" customHeight="1" x14ac:dyDescent="0.3">
      <c r="A101" s="696" t="s">
        <v>4251</v>
      </c>
      <c r="B101" s="697" t="s">
        <v>4252</v>
      </c>
      <c r="C101" s="697" t="s">
        <v>2708</v>
      </c>
      <c r="D101" s="697" t="s">
        <v>4298</v>
      </c>
      <c r="E101" s="697" t="s">
        <v>4299</v>
      </c>
      <c r="F101" s="701">
        <v>4</v>
      </c>
      <c r="G101" s="701">
        <v>188</v>
      </c>
      <c r="H101" s="701">
        <v>0.5714285714285714</v>
      </c>
      <c r="I101" s="701">
        <v>47</v>
      </c>
      <c r="J101" s="701">
        <v>7</v>
      </c>
      <c r="K101" s="701">
        <v>329</v>
      </c>
      <c r="L101" s="701">
        <v>1</v>
      </c>
      <c r="M101" s="701">
        <v>47</v>
      </c>
      <c r="N101" s="701">
        <v>5</v>
      </c>
      <c r="O101" s="701">
        <v>235</v>
      </c>
      <c r="P101" s="723">
        <v>0.7142857142857143</v>
      </c>
      <c r="Q101" s="702">
        <v>47</v>
      </c>
    </row>
    <row r="102" spans="1:17" ht="14.4" customHeight="1" x14ac:dyDescent="0.3">
      <c r="A102" s="696" t="s">
        <v>4251</v>
      </c>
      <c r="B102" s="697" t="s">
        <v>4252</v>
      </c>
      <c r="C102" s="697" t="s">
        <v>2708</v>
      </c>
      <c r="D102" s="697" t="s">
        <v>4298</v>
      </c>
      <c r="E102" s="697" t="s">
        <v>4300</v>
      </c>
      <c r="F102" s="701">
        <v>1</v>
      </c>
      <c r="G102" s="701">
        <v>47</v>
      </c>
      <c r="H102" s="701"/>
      <c r="I102" s="701">
        <v>47</v>
      </c>
      <c r="J102" s="701"/>
      <c r="K102" s="701"/>
      <c r="L102" s="701"/>
      <c r="M102" s="701"/>
      <c r="N102" s="701">
        <v>1</v>
      </c>
      <c r="O102" s="701">
        <v>47</v>
      </c>
      <c r="P102" s="723"/>
      <c r="Q102" s="702">
        <v>47</v>
      </c>
    </row>
    <row r="103" spans="1:17" ht="14.4" customHeight="1" x14ac:dyDescent="0.3">
      <c r="A103" s="696" t="s">
        <v>4251</v>
      </c>
      <c r="B103" s="697" t="s">
        <v>4252</v>
      </c>
      <c r="C103" s="697" t="s">
        <v>2708</v>
      </c>
      <c r="D103" s="697" t="s">
        <v>4301</v>
      </c>
      <c r="E103" s="697" t="s">
        <v>4302</v>
      </c>
      <c r="F103" s="701">
        <v>1</v>
      </c>
      <c r="G103" s="701">
        <v>60</v>
      </c>
      <c r="H103" s="701"/>
      <c r="I103" s="701">
        <v>60</v>
      </c>
      <c r="J103" s="701"/>
      <c r="K103" s="701"/>
      <c r="L103" s="701"/>
      <c r="M103" s="701"/>
      <c r="N103" s="701"/>
      <c r="O103" s="701"/>
      <c r="P103" s="723"/>
      <c r="Q103" s="702"/>
    </row>
    <row r="104" spans="1:17" ht="14.4" customHeight="1" x14ac:dyDescent="0.3">
      <c r="A104" s="696" t="s">
        <v>4251</v>
      </c>
      <c r="B104" s="697" t="s">
        <v>4252</v>
      </c>
      <c r="C104" s="697" t="s">
        <v>2708</v>
      </c>
      <c r="D104" s="697" t="s">
        <v>4301</v>
      </c>
      <c r="E104" s="697" t="s">
        <v>4303</v>
      </c>
      <c r="F104" s="701">
        <v>2</v>
      </c>
      <c r="G104" s="701">
        <v>120</v>
      </c>
      <c r="H104" s="701">
        <v>2</v>
      </c>
      <c r="I104" s="701">
        <v>60</v>
      </c>
      <c r="J104" s="701">
        <v>1</v>
      </c>
      <c r="K104" s="701">
        <v>60</v>
      </c>
      <c r="L104" s="701">
        <v>1</v>
      </c>
      <c r="M104" s="701">
        <v>60</v>
      </c>
      <c r="N104" s="701"/>
      <c r="O104" s="701"/>
      <c r="P104" s="723"/>
      <c r="Q104" s="702"/>
    </row>
    <row r="105" spans="1:17" ht="14.4" customHeight="1" x14ac:dyDescent="0.3">
      <c r="A105" s="696" t="s">
        <v>4251</v>
      </c>
      <c r="B105" s="697" t="s">
        <v>4252</v>
      </c>
      <c r="C105" s="697" t="s">
        <v>2708</v>
      </c>
      <c r="D105" s="697" t="s">
        <v>4304</v>
      </c>
      <c r="E105" s="697" t="s">
        <v>4305</v>
      </c>
      <c r="F105" s="701">
        <v>1</v>
      </c>
      <c r="G105" s="701">
        <v>19</v>
      </c>
      <c r="H105" s="701">
        <v>1</v>
      </c>
      <c r="I105" s="701">
        <v>19</v>
      </c>
      <c r="J105" s="701">
        <v>1</v>
      </c>
      <c r="K105" s="701">
        <v>19</v>
      </c>
      <c r="L105" s="701">
        <v>1</v>
      </c>
      <c r="M105" s="701">
        <v>19</v>
      </c>
      <c r="N105" s="701"/>
      <c r="O105" s="701"/>
      <c r="P105" s="723"/>
      <c r="Q105" s="702"/>
    </row>
    <row r="106" spans="1:17" ht="14.4" customHeight="1" x14ac:dyDescent="0.3">
      <c r="A106" s="696" t="s">
        <v>4251</v>
      </c>
      <c r="B106" s="697" t="s">
        <v>4252</v>
      </c>
      <c r="C106" s="697" t="s">
        <v>2708</v>
      </c>
      <c r="D106" s="697" t="s">
        <v>4304</v>
      </c>
      <c r="E106" s="697" t="s">
        <v>4306</v>
      </c>
      <c r="F106" s="701">
        <v>1</v>
      </c>
      <c r="G106" s="701">
        <v>19</v>
      </c>
      <c r="H106" s="701">
        <v>1</v>
      </c>
      <c r="I106" s="701">
        <v>19</v>
      </c>
      <c r="J106" s="701">
        <v>1</v>
      </c>
      <c r="K106" s="701">
        <v>19</v>
      </c>
      <c r="L106" s="701">
        <v>1</v>
      </c>
      <c r="M106" s="701">
        <v>19</v>
      </c>
      <c r="N106" s="701">
        <v>1</v>
      </c>
      <c r="O106" s="701">
        <v>19</v>
      </c>
      <c r="P106" s="723">
        <v>1</v>
      </c>
      <c r="Q106" s="702">
        <v>19</v>
      </c>
    </row>
    <row r="107" spans="1:17" ht="14.4" customHeight="1" x14ac:dyDescent="0.3">
      <c r="A107" s="696" t="s">
        <v>4251</v>
      </c>
      <c r="B107" s="697" t="s">
        <v>4252</v>
      </c>
      <c r="C107" s="697" t="s">
        <v>2708</v>
      </c>
      <c r="D107" s="697" t="s">
        <v>4307</v>
      </c>
      <c r="E107" s="697" t="s">
        <v>4308</v>
      </c>
      <c r="F107" s="701">
        <v>6</v>
      </c>
      <c r="G107" s="701">
        <v>2784</v>
      </c>
      <c r="H107" s="701">
        <v>1.2</v>
      </c>
      <c r="I107" s="701">
        <v>464</v>
      </c>
      <c r="J107" s="701">
        <v>5</v>
      </c>
      <c r="K107" s="701">
        <v>2320</v>
      </c>
      <c r="L107" s="701">
        <v>1</v>
      </c>
      <c r="M107" s="701">
        <v>464</v>
      </c>
      <c r="N107" s="701">
        <v>8</v>
      </c>
      <c r="O107" s="701">
        <v>3712</v>
      </c>
      <c r="P107" s="723">
        <v>1.6</v>
      </c>
      <c r="Q107" s="702">
        <v>464</v>
      </c>
    </row>
    <row r="108" spans="1:17" ht="14.4" customHeight="1" x14ac:dyDescent="0.3">
      <c r="A108" s="696" t="s">
        <v>4251</v>
      </c>
      <c r="B108" s="697" t="s">
        <v>4252</v>
      </c>
      <c r="C108" s="697" t="s">
        <v>2708</v>
      </c>
      <c r="D108" s="697" t="s">
        <v>4309</v>
      </c>
      <c r="E108" s="697" t="s">
        <v>4310</v>
      </c>
      <c r="F108" s="701">
        <v>2</v>
      </c>
      <c r="G108" s="701">
        <v>626</v>
      </c>
      <c r="H108" s="701"/>
      <c r="I108" s="701">
        <v>313</v>
      </c>
      <c r="J108" s="701"/>
      <c r="K108" s="701"/>
      <c r="L108" s="701"/>
      <c r="M108" s="701"/>
      <c r="N108" s="701"/>
      <c r="O108" s="701"/>
      <c r="P108" s="723"/>
      <c r="Q108" s="702"/>
    </row>
    <row r="109" spans="1:17" ht="14.4" customHeight="1" x14ac:dyDescent="0.3">
      <c r="A109" s="696" t="s">
        <v>4251</v>
      </c>
      <c r="B109" s="697" t="s">
        <v>4252</v>
      </c>
      <c r="C109" s="697" t="s">
        <v>2708</v>
      </c>
      <c r="D109" s="697" t="s">
        <v>4311</v>
      </c>
      <c r="E109" s="697" t="s">
        <v>4312</v>
      </c>
      <c r="F109" s="701">
        <v>90</v>
      </c>
      <c r="G109" s="701">
        <v>76770</v>
      </c>
      <c r="H109" s="701">
        <v>0.63829787234042556</v>
      </c>
      <c r="I109" s="701">
        <v>853</v>
      </c>
      <c r="J109" s="701">
        <v>141</v>
      </c>
      <c r="K109" s="701">
        <v>120273</v>
      </c>
      <c r="L109" s="701">
        <v>1</v>
      </c>
      <c r="M109" s="701">
        <v>853</v>
      </c>
      <c r="N109" s="701">
        <v>119</v>
      </c>
      <c r="O109" s="701">
        <v>101507</v>
      </c>
      <c r="P109" s="723">
        <v>0.84397163120567376</v>
      </c>
      <c r="Q109" s="702">
        <v>853</v>
      </c>
    </row>
    <row r="110" spans="1:17" ht="14.4" customHeight="1" x14ac:dyDescent="0.3">
      <c r="A110" s="696" t="s">
        <v>4251</v>
      </c>
      <c r="B110" s="697" t="s">
        <v>4252</v>
      </c>
      <c r="C110" s="697" t="s">
        <v>2708</v>
      </c>
      <c r="D110" s="697" t="s">
        <v>4313</v>
      </c>
      <c r="E110" s="697" t="s">
        <v>4314</v>
      </c>
      <c r="F110" s="701">
        <v>21</v>
      </c>
      <c r="G110" s="701">
        <v>3927</v>
      </c>
      <c r="H110" s="701">
        <v>0.875</v>
      </c>
      <c r="I110" s="701">
        <v>187</v>
      </c>
      <c r="J110" s="701">
        <v>24</v>
      </c>
      <c r="K110" s="701">
        <v>4488</v>
      </c>
      <c r="L110" s="701">
        <v>1</v>
      </c>
      <c r="M110" s="701">
        <v>187</v>
      </c>
      <c r="N110" s="701">
        <v>20</v>
      </c>
      <c r="O110" s="701">
        <v>3740</v>
      </c>
      <c r="P110" s="723">
        <v>0.83333333333333337</v>
      </c>
      <c r="Q110" s="702">
        <v>187</v>
      </c>
    </row>
    <row r="111" spans="1:17" ht="14.4" customHeight="1" x14ac:dyDescent="0.3">
      <c r="A111" s="696" t="s">
        <v>4251</v>
      </c>
      <c r="B111" s="697" t="s">
        <v>4252</v>
      </c>
      <c r="C111" s="697" t="s">
        <v>2708</v>
      </c>
      <c r="D111" s="697" t="s">
        <v>4315</v>
      </c>
      <c r="E111" s="697" t="s">
        <v>4316</v>
      </c>
      <c r="F111" s="701"/>
      <c r="G111" s="701"/>
      <c r="H111" s="701"/>
      <c r="I111" s="701"/>
      <c r="J111" s="701"/>
      <c r="K111" s="701"/>
      <c r="L111" s="701"/>
      <c r="M111" s="701"/>
      <c r="N111" s="701">
        <v>1</v>
      </c>
      <c r="O111" s="701">
        <v>167</v>
      </c>
      <c r="P111" s="723"/>
      <c r="Q111" s="702">
        <v>167</v>
      </c>
    </row>
    <row r="112" spans="1:17" ht="14.4" customHeight="1" x14ac:dyDescent="0.3">
      <c r="A112" s="696" t="s">
        <v>4251</v>
      </c>
      <c r="B112" s="697" t="s">
        <v>4252</v>
      </c>
      <c r="C112" s="697" t="s">
        <v>2708</v>
      </c>
      <c r="D112" s="697" t="s">
        <v>4315</v>
      </c>
      <c r="E112" s="697" t="s">
        <v>4317</v>
      </c>
      <c r="F112" s="701"/>
      <c r="G112" s="701"/>
      <c r="H112" s="701"/>
      <c r="I112" s="701"/>
      <c r="J112" s="701">
        <v>1</v>
      </c>
      <c r="K112" s="701">
        <v>167</v>
      </c>
      <c r="L112" s="701">
        <v>1</v>
      </c>
      <c r="M112" s="701">
        <v>167</v>
      </c>
      <c r="N112" s="701"/>
      <c r="O112" s="701"/>
      <c r="P112" s="723"/>
      <c r="Q112" s="702"/>
    </row>
    <row r="113" spans="1:17" ht="14.4" customHeight="1" x14ac:dyDescent="0.3">
      <c r="A113" s="696" t="s">
        <v>4251</v>
      </c>
      <c r="B113" s="697" t="s">
        <v>4252</v>
      </c>
      <c r="C113" s="697" t="s">
        <v>2708</v>
      </c>
      <c r="D113" s="697" t="s">
        <v>4318</v>
      </c>
      <c r="E113" s="697" t="s">
        <v>4319</v>
      </c>
      <c r="F113" s="701">
        <v>1</v>
      </c>
      <c r="G113" s="701">
        <v>310</v>
      </c>
      <c r="H113" s="701"/>
      <c r="I113" s="701">
        <v>310</v>
      </c>
      <c r="J113" s="701"/>
      <c r="K113" s="701"/>
      <c r="L113" s="701"/>
      <c r="M113" s="701"/>
      <c r="N113" s="701"/>
      <c r="O113" s="701"/>
      <c r="P113" s="723"/>
      <c r="Q113" s="702"/>
    </row>
    <row r="114" spans="1:17" ht="14.4" customHeight="1" x14ac:dyDescent="0.3">
      <c r="A114" s="696" t="s">
        <v>4251</v>
      </c>
      <c r="B114" s="697" t="s">
        <v>4252</v>
      </c>
      <c r="C114" s="697" t="s">
        <v>2708</v>
      </c>
      <c r="D114" s="697" t="s">
        <v>4320</v>
      </c>
      <c r="E114" s="697" t="s">
        <v>4321</v>
      </c>
      <c r="F114" s="701"/>
      <c r="G114" s="701"/>
      <c r="H114" s="701"/>
      <c r="I114" s="701"/>
      <c r="J114" s="701">
        <v>1</v>
      </c>
      <c r="K114" s="701">
        <v>352</v>
      </c>
      <c r="L114" s="701">
        <v>1</v>
      </c>
      <c r="M114" s="701">
        <v>352</v>
      </c>
      <c r="N114" s="701">
        <v>1</v>
      </c>
      <c r="O114" s="701">
        <v>352</v>
      </c>
      <c r="P114" s="723">
        <v>1</v>
      </c>
      <c r="Q114" s="702">
        <v>352</v>
      </c>
    </row>
    <row r="115" spans="1:17" ht="14.4" customHeight="1" x14ac:dyDescent="0.3">
      <c r="A115" s="696" t="s">
        <v>4251</v>
      </c>
      <c r="B115" s="697" t="s">
        <v>4252</v>
      </c>
      <c r="C115" s="697" t="s">
        <v>2708</v>
      </c>
      <c r="D115" s="697" t="s">
        <v>4320</v>
      </c>
      <c r="E115" s="697" t="s">
        <v>4322</v>
      </c>
      <c r="F115" s="701">
        <v>1</v>
      </c>
      <c r="G115" s="701">
        <v>352</v>
      </c>
      <c r="H115" s="701"/>
      <c r="I115" s="701">
        <v>352</v>
      </c>
      <c r="J115" s="701"/>
      <c r="K115" s="701"/>
      <c r="L115" s="701"/>
      <c r="M115" s="701"/>
      <c r="N115" s="701"/>
      <c r="O115" s="701"/>
      <c r="P115" s="723"/>
      <c r="Q115" s="702"/>
    </row>
    <row r="116" spans="1:17" ht="14.4" customHeight="1" x14ac:dyDescent="0.3">
      <c r="A116" s="696" t="s">
        <v>4251</v>
      </c>
      <c r="B116" s="697" t="s">
        <v>4252</v>
      </c>
      <c r="C116" s="697" t="s">
        <v>2708</v>
      </c>
      <c r="D116" s="697" t="s">
        <v>4323</v>
      </c>
      <c r="E116" s="697" t="s">
        <v>4324</v>
      </c>
      <c r="F116" s="701"/>
      <c r="G116" s="701"/>
      <c r="H116" s="701"/>
      <c r="I116" s="701"/>
      <c r="J116" s="701">
        <v>1</v>
      </c>
      <c r="K116" s="701">
        <v>352</v>
      </c>
      <c r="L116" s="701">
        <v>1</v>
      </c>
      <c r="M116" s="701">
        <v>352</v>
      </c>
      <c r="N116" s="701">
        <v>1</v>
      </c>
      <c r="O116" s="701">
        <v>352</v>
      </c>
      <c r="P116" s="723">
        <v>1</v>
      </c>
      <c r="Q116" s="702">
        <v>352</v>
      </c>
    </row>
    <row r="117" spans="1:17" ht="14.4" customHeight="1" x14ac:dyDescent="0.3">
      <c r="A117" s="696" t="s">
        <v>4251</v>
      </c>
      <c r="B117" s="697" t="s">
        <v>4252</v>
      </c>
      <c r="C117" s="697" t="s">
        <v>2708</v>
      </c>
      <c r="D117" s="697" t="s">
        <v>4323</v>
      </c>
      <c r="E117" s="697" t="s">
        <v>4325</v>
      </c>
      <c r="F117" s="701">
        <v>1</v>
      </c>
      <c r="G117" s="701">
        <v>352</v>
      </c>
      <c r="H117" s="701"/>
      <c r="I117" s="701">
        <v>352</v>
      </c>
      <c r="J117" s="701"/>
      <c r="K117" s="701"/>
      <c r="L117" s="701"/>
      <c r="M117" s="701"/>
      <c r="N117" s="701"/>
      <c r="O117" s="701"/>
      <c r="P117" s="723"/>
      <c r="Q117" s="702"/>
    </row>
    <row r="118" spans="1:17" ht="14.4" customHeight="1" x14ac:dyDescent="0.3">
      <c r="A118" s="696" t="s">
        <v>4251</v>
      </c>
      <c r="B118" s="697" t="s">
        <v>4252</v>
      </c>
      <c r="C118" s="697" t="s">
        <v>2708</v>
      </c>
      <c r="D118" s="697" t="s">
        <v>4326</v>
      </c>
      <c r="E118" s="697" t="s">
        <v>4327</v>
      </c>
      <c r="F118" s="701">
        <v>3</v>
      </c>
      <c r="G118" s="701">
        <v>3663</v>
      </c>
      <c r="H118" s="701">
        <v>1.4987725040916531</v>
      </c>
      <c r="I118" s="701">
        <v>1221</v>
      </c>
      <c r="J118" s="701">
        <v>2</v>
      </c>
      <c r="K118" s="701">
        <v>2444</v>
      </c>
      <c r="L118" s="701">
        <v>1</v>
      </c>
      <c r="M118" s="701">
        <v>1222</v>
      </c>
      <c r="N118" s="701">
        <v>3</v>
      </c>
      <c r="O118" s="701">
        <v>3669</v>
      </c>
      <c r="P118" s="723">
        <v>1.5012274959083469</v>
      </c>
      <c r="Q118" s="702">
        <v>1223</v>
      </c>
    </row>
    <row r="119" spans="1:17" ht="14.4" customHeight="1" x14ac:dyDescent="0.3">
      <c r="A119" s="696" t="s">
        <v>4251</v>
      </c>
      <c r="B119" s="697" t="s">
        <v>4252</v>
      </c>
      <c r="C119" s="697" t="s">
        <v>2708</v>
      </c>
      <c r="D119" s="697" t="s">
        <v>4328</v>
      </c>
      <c r="E119" s="697" t="s">
        <v>4329</v>
      </c>
      <c r="F119" s="701">
        <v>484</v>
      </c>
      <c r="G119" s="701">
        <v>380908</v>
      </c>
      <c r="H119" s="701">
        <v>0.7129583876136143</v>
      </c>
      <c r="I119" s="701">
        <v>787</v>
      </c>
      <c r="J119" s="701">
        <v>678</v>
      </c>
      <c r="K119" s="701">
        <v>534264</v>
      </c>
      <c r="L119" s="701">
        <v>1</v>
      </c>
      <c r="M119" s="701">
        <v>788</v>
      </c>
      <c r="N119" s="701">
        <v>1016</v>
      </c>
      <c r="O119" s="701">
        <v>800284</v>
      </c>
      <c r="P119" s="723">
        <v>1.4979186319871824</v>
      </c>
      <c r="Q119" s="702">
        <v>787.68110236220468</v>
      </c>
    </row>
    <row r="120" spans="1:17" ht="14.4" customHeight="1" x14ac:dyDescent="0.3">
      <c r="A120" s="696" t="s">
        <v>4251</v>
      </c>
      <c r="B120" s="697" t="s">
        <v>4252</v>
      </c>
      <c r="C120" s="697" t="s">
        <v>2708</v>
      </c>
      <c r="D120" s="697" t="s">
        <v>4328</v>
      </c>
      <c r="E120" s="697" t="s">
        <v>4330</v>
      </c>
      <c r="F120" s="701">
        <v>6</v>
      </c>
      <c r="G120" s="701">
        <v>4722</v>
      </c>
      <c r="H120" s="701"/>
      <c r="I120" s="701">
        <v>787</v>
      </c>
      <c r="J120" s="701"/>
      <c r="K120" s="701"/>
      <c r="L120" s="701"/>
      <c r="M120" s="701"/>
      <c r="N120" s="701"/>
      <c r="O120" s="701"/>
      <c r="P120" s="723"/>
      <c r="Q120" s="702"/>
    </row>
    <row r="121" spans="1:17" ht="14.4" customHeight="1" x14ac:dyDescent="0.3">
      <c r="A121" s="696" t="s">
        <v>4251</v>
      </c>
      <c r="B121" s="697" t="s">
        <v>4252</v>
      </c>
      <c r="C121" s="697" t="s">
        <v>2708</v>
      </c>
      <c r="D121" s="697" t="s">
        <v>4331</v>
      </c>
      <c r="E121" s="697" t="s">
        <v>4332</v>
      </c>
      <c r="F121" s="701"/>
      <c r="G121" s="701"/>
      <c r="H121" s="701"/>
      <c r="I121" s="701"/>
      <c r="J121" s="701">
        <v>1</v>
      </c>
      <c r="K121" s="701">
        <v>189</v>
      </c>
      <c r="L121" s="701">
        <v>1</v>
      </c>
      <c r="M121" s="701">
        <v>189</v>
      </c>
      <c r="N121" s="701"/>
      <c r="O121" s="701"/>
      <c r="P121" s="723"/>
      <c r="Q121" s="702"/>
    </row>
    <row r="122" spans="1:17" ht="14.4" customHeight="1" x14ac:dyDescent="0.3">
      <c r="A122" s="696" t="s">
        <v>4251</v>
      </c>
      <c r="B122" s="697" t="s">
        <v>4252</v>
      </c>
      <c r="C122" s="697" t="s">
        <v>2708</v>
      </c>
      <c r="D122" s="697" t="s">
        <v>4331</v>
      </c>
      <c r="E122" s="697" t="s">
        <v>4333</v>
      </c>
      <c r="F122" s="701">
        <v>1</v>
      </c>
      <c r="G122" s="701">
        <v>189</v>
      </c>
      <c r="H122" s="701">
        <v>0.5</v>
      </c>
      <c r="I122" s="701">
        <v>189</v>
      </c>
      <c r="J122" s="701">
        <v>2</v>
      </c>
      <c r="K122" s="701">
        <v>378</v>
      </c>
      <c r="L122" s="701">
        <v>1</v>
      </c>
      <c r="M122" s="701">
        <v>189</v>
      </c>
      <c r="N122" s="701"/>
      <c r="O122" s="701"/>
      <c r="P122" s="723"/>
      <c r="Q122" s="702"/>
    </row>
    <row r="123" spans="1:17" ht="14.4" customHeight="1" x14ac:dyDescent="0.3">
      <c r="A123" s="696" t="s">
        <v>4251</v>
      </c>
      <c r="B123" s="697" t="s">
        <v>4252</v>
      </c>
      <c r="C123" s="697" t="s">
        <v>2708</v>
      </c>
      <c r="D123" s="697" t="s">
        <v>4334</v>
      </c>
      <c r="E123" s="697" t="s">
        <v>4335</v>
      </c>
      <c r="F123" s="701">
        <v>3</v>
      </c>
      <c r="G123" s="701">
        <v>537</v>
      </c>
      <c r="H123" s="701">
        <v>1.5</v>
      </c>
      <c r="I123" s="701">
        <v>179</v>
      </c>
      <c r="J123" s="701">
        <v>2</v>
      </c>
      <c r="K123" s="701">
        <v>358</v>
      </c>
      <c r="L123" s="701">
        <v>1</v>
      </c>
      <c r="M123" s="701">
        <v>179</v>
      </c>
      <c r="N123" s="701"/>
      <c r="O123" s="701"/>
      <c r="P123" s="723"/>
      <c r="Q123" s="702"/>
    </row>
    <row r="124" spans="1:17" ht="14.4" customHeight="1" x14ac:dyDescent="0.3">
      <c r="A124" s="696" t="s">
        <v>4251</v>
      </c>
      <c r="B124" s="697" t="s">
        <v>4252</v>
      </c>
      <c r="C124" s="697" t="s">
        <v>2708</v>
      </c>
      <c r="D124" s="697" t="s">
        <v>4336</v>
      </c>
      <c r="E124" s="697" t="s">
        <v>4337</v>
      </c>
      <c r="F124" s="701">
        <v>1</v>
      </c>
      <c r="G124" s="701">
        <v>229</v>
      </c>
      <c r="H124" s="701">
        <v>1</v>
      </c>
      <c r="I124" s="701">
        <v>229</v>
      </c>
      <c r="J124" s="701">
        <v>1</v>
      </c>
      <c r="K124" s="701">
        <v>229</v>
      </c>
      <c r="L124" s="701">
        <v>1</v>
      </c>
      <c r="M124" s="701">
        <v>229</v>
      </c>
      <c r="N124" s="701"/>
      <c r="O124" s="701"/>
      <c r="P124" s="723"/>
      <c r="Q124" s="702"/>
    </row>
    <row r="125" spans="1:17" ht="14.4" customHeight="1" x14ac:dyDescent="0.3">
      <c r="A125" s="696" t="s">
        <v>4251</v>
      </c>
      <c r="B125" s="697" t="s">
        <v>4252</v>
      </c>
      <c r="C125" s="697" t="s">
        <v>2708</v>
      </c>
      <c r="D125" s="697" t="s">
        <v>4336</v>
      </c>
      <c r="E125" s="697" t="s">
        <v>4338</v>
      </c>
      <c r="F125" s="701">
        <v>1</v>
      </c>
      <c r="G125" s="701">
        <v>229</v>
      </c>
      <c r="H125" s="701">
        <v>1</v>
      </c>
      <c r="I125" s="701">
        <v>229</v>
      </c>
      <c r="J125" s="701">
        <v>1</v>
      </c>
      <c r="K125" s="701">
        <v>229</v>
      </c>
      <c r="L125" s="701">
        <v>1</v>
      </c>
      <c r="M125" s="701">
        <v>229</v>
      </c>
      <c r="N125" s="701">
        <v>1</v>
      </c>
      <c r="O125" s="701">
        <v>229</v>
      </c>
      <c r="P125" s="723">
        <v>1</v>
      </c>
      <c r="Q125" s="702">
        <v>229</v>
      </c>
    </row>
    <row r="126" spans="1:17" ht="14.4" customHeight="1" x14ac:dyDescent="0.3">
      <c r="A126" s="696" t="s">
        <v>4251</v>
      </c>
      <c r="B126" s="697" t="s">
        <v>4252</v>
      </c>
      <c r="C126" s="697" t="s">
        <v>2708</v>
      </c>
      <c r="D126" s="697" t="s">
        <v>4339</v>
      </c>
      <c r="E126" s="697" t="s">
        <v>4340</v>
      </c>
      <c r="F126" s="701"/>
      <c r="G126" s="701"/>
      <c r="H126" s="701"/>
      <c r="I126" s="701"/>
      <c r="J126" s="701"/>
      <c r="K126" s="701"/>
      <c r="L126" s="701"/>
      <c r="M126" s="701"/>
      <c r="N126" s="701">
        <v>1</v>
      </c>
      <c r="O126" s="701">
        <v>462</v>
      </c>
      <c r="P126" s="723"/>
      <c r="Q126" s="702">
        <v>462</v>
      </c>
    </row>
    <row r="127" spans="1:17" ht="14.4" customHeight="1" x14ac:dyDescent="0.3">
      <c r="A127" s="696" t="s">
        <v>4251</v>
      </c>
      <c r="B127" s="697" t="s">
        <v>4252</v>
      </c>
      <c r="C127" s="697" t="s">
        <v>2708</v>
      </c>
      <c r="D127" s="697" t="s">
        <v>4341</v>
      </c>
      <c r="E127" s="697" t="s">
        <v>4342</v>
      </c>
      <c r="F127" s="701">
        <v>1</v>
      </c>
      <c r="G127" s="701">
        <v>562</v>
      </c>
      <c r="H127" s="701"/>
      <c r="I127" s="701">
        <v>562</v>
      </c>
      <c r="J127" s="701"/>
      <c r="K127" s="701"/>
      <c r="L127" s="701"/>
      <c r="M127" s="701"/>
      <c r="N127" s="701"/>
      <c r="O127" s="701"/>
      <c r="P127" s="723"/>
      <c r="Q127" s="702"/>
    </row>
    <row r="128" spans="1:17" ht="14.4" customHeight="1" x14ac:dyDescent="0.3">
      <c r="A128" s="696" t="s">
        <v>4251</v>
      </c>
      <c r="B128" s="697" t="s">
        <v>4252</v>
      </c>
      <c r="C128" s="697" t="s">
        <v>2708</v>
      </c>
      <c r="D128" s="697" t="s">
        <v>4343</v>
      </c>
      <c r="E128" s="697" t="s">
        <v>4344</v>
      </c>
      <c r="F128" s="701"/>
      <c r="G128" s="701"/>
      <c r="H128" s="701"/>
      <c r="I128" s="701"/>
      <c r="J128" s="701">
        <v>1</v>
      </c>
      <c r="K128" s="701">
        <v>172</v>
      </c>
      <c r="L128" s="701">
        <v>1</v>
      </c>
      <c r="M128" s="701">
        <v>172</v>
      </c>
      <c r="N128" s="701"/>
      <c r="O128" s="701"/>
      <c r="P128" s="723"/>
      <c r="Q128" s="702"/>
    </row>
    <row r="129" spans="1:17" ht="14.4" customHeight="1" x14ac:dyDescent="0.3">
      <c r="A129" s="696" t="s">
        <v>4251</v>
      </c>
      <c r="B129" s="697" t="s">
        <v>4252</v>
      </c>
      <c r="C129" s="697" t="s">
        <v>2708</v>
      </c>
      <c r="D129" s="697" t="s">
        <v>4345</v>
      </c>
      <c r="E129" s="697" t="s">
        <v>4346</v>
      </c>
      <c r="F129" s="701">
        <v>2</v>
      </c>
      <c r="G129" s="701">
        <v>266</v>
      </c>
      <c r="H129" s="701"/>
      <c r="I129" s="701">
        <v>133</v>
      </c>
      <c r="J129" s="701"/>
      <c r="K129" s="701"/>
      <c r="L129" s="701"/>
      <c r="M129" s="701"/>
      <c r="N129" s="701"/>
      <c r="O129" s="701"/>
      <c r="P129" s="723"/>
      <c r="Q129" s="702"/>
    </row>
    <row r="130" spans="1:17" ht="14.4" customHeight="1" x14ac:dyDescent="0.3">
      <c r="A130" s="696" t="s">
        <v>4251</v>
      </c>
      <c r="B130" s="697" t="s">
        <v>4252</v>
      </c>
      <c r="C130" s="697" t="s">
        <v>2708</v>
      </c>
      <c r="D130" s="697" t="s">
        <v>4345</v>
      </c>
      <c r="E130" s="697" t="s">
        <v>4347</v>
      </c>
      <c r="F130" s="701">
        <v>1</v>
      </c>
      <c r="G130" s="701">
        <v>133</v>
      </c>
      <c r="H130" s="701">
        <v>1</v>
      </c>
      <c r="I130" s="701">
        <v>133</v>
      </c>
      <c r="J130" s="701">
        <v>1</v>
      </c>
      <c r="K130" s="701">
        <v>133</v>
      </c>
      <c r="L130" s="701">
        <v>1</v>
      </c>
      <c r="M130" s="701">
        <v>133</v>
      </c>
      <c r="N130" s="701"/>
      <c r="O130" s="701"/>
      <c r="P130" s="723"/>
      <c r="Q130" s="702"/>
    </row>
    <row r="131" spans="1:17" ht="14.4" customHeight="1" x14ac:dyDescent="0.3">
      <c r="A131" s="696" t="s">
        <v>4251</v>
      </c>
      <c r="B131" s="697" t="s">
        <v>4252</v>
      </c>
      <c r="C131" s="697" t="s">
        <v>2708</v>
      </c>
      <c r="D131" s="697" t="s">
        <v>4348</v>
      </c>
      <c r="E131" s="697" t="s">
        <v>4349</v>
      </c>
      <c r="F131" s="701"/>
      <c r="G131" s="701"/>
      <c r="H131" s="701"/>
      <c r="I131" s="701"/>
      <c r="J131" s="701">
        <v>1</v>
      </c>
      <c r="K131" s="701">
        <v>179</v>
      </c>
      <c r="L131" s="701">
        <v>1</v>
      </c>
      <c r="M131" s="701">
        <v>179</v>
      </c>
      <c r="N131" s="701"/>
      <c r="O131" s="701"/>
      <c r="P131" s="723"/>
      <c r="Q131" s="702"/>
    </row>
    <row r="132" spans="1:17" ht="14.4" customHeight="1" x14ac:dyDescent="0.3">
      <c r="A132" s="696" t="s">
        <v>4251</v>
      </c>
      <c r="B132" s="697" t="s">
        <v>4252</v>
      </c>
      <c r="C132" s="697" t="s">
        <v>2708</v>
      </c>
      <c r="D132" s="697" t="s">
        <v>4350</v>
      </c>
      <c r="E132" s="697" t="s">
        <v>4351</v>
      </c>
      <c r="F132" s="701">
        <v>3</v>
      </c>
      <c r="G132" s="701">
        <v>267</v>
      </c>
      <c r="H132" s="701">
        <v>0.75</v>
      </c>
      <c r="I132" s="701">
        <v>89</v>
      </c>
      <c r="J132" s="701">
        <v>4</v>
      </c>
      <c r="K132" s="701">
        <v>356</v>
      </c>
      <c r="L132" s="701">
        <v>1</v>
      </c>
      <c r="M132" s="701">
        <v>89</v>
      </c>
      <c r="N132" s="701"/>
      <c r="O132" s="701"/>
      <c r="P132" s="723"/>
      <c r="Q132" s="702"/>
    </row>
    <row r="133" spans="1:17" ht="14.4" customHeight="1" x14ac:dyDescent="0.3">
      <c r="A133" s="696" t="s">
        <v>4251</v>
      </c>
      <c r="B133" s="697" t="s">
        <v>4252</v>
      </c>
      <c r="C133" s="697" t="s">
        <v>2708</v>
      </c>
      <c r="D133" s="697" t="s">
        <v>4350</v>
      </c>
      <c r="E133" s="697" t="s">
        <v>4352</v>
      </c>
      <c r="F133" s="701">
        <v>10</v>
      </c>
      <c r="G133" s="701">
        <v>890</v>
      </c>
      <c r="H133" s="701">
        <v>0.52631578947368418</v>
      </c>
      <c r="I133" s="701">
        <v>89</v>
      </c>
      <c r="J133" s="701">
        <v>19</v>
      </c>
      <c r="K133" s="701">
        <v>1691</v>
      </c>
      <c r="L133" s="701">
        <v>1</v>
      </c>
      <c r="M133" s="701">
        <v>89</v>
      </c>
      <c r="N133" s="701">
        <v>48</v>
      </c>
      <c r="O133" s="701">
        <v>4272</v>
      </c>
      <c r="P133" s="723">
        <v>2.5263157894736841</v>
      </c>
      <c r="Q133" s="702">
        <v>89</v>
      </c>
    </row>
    <row r="134" spans="1:17" ht="14.4" customHeight="1" x14ac:dyDescent="0.3">
      <c r="A134" s="696" t="s">
        <v>4251</v>
      </c>
      <c r="B134" s="697" t="s">
        <v>4252</v>
      </c>
      <c r="C134" s="697" t="s">
        <v>2708</v>
      </c>
      <c r="D134" s="697" t="s">
        <v>4353</v>
      </c>
      <c r="E134" s="697" t="s">
        <v>4354</v>
      </c>
      <c r="F134" s="701">
        <v>5945</v>
      </c>
      <c r="G134" s="701">
        <v>178350</v>
      </c>
      <c r="H134" s="701">
        <v>0.91433405106121191</v>
      </c>
      <c r="I134" s="701">
        <v>30</v>
      </c>
      <c r="J134" s="701">
        <v>6502</v>
      </c>
      <c r="K134" s="701">
        <v>195060</v>
      </c>
      <c r="L134" s="701">
        <v>1</v>
      </c>
      <c r="M134" s="701">
        <v>30</v>
      </c>
      <c r="N134" s="701">
        <v>6487</v>
      </c>
      <c r="O134" s="701">
        <v>194610</v>
      </c>
      <c r="P134" s="723">
        <v>0.99769301753306672</v>
      </c>
      <c r="Q134" s="702">
        <v>30</v>
      </c>
    </row>
    <row r="135" spans="1:17" ht="14.4" customHeight="1" x14ac:dyDescent="0.3">
      <c r="A135" s="696" t="s">
        <v>4251</v>
      </c>
      <c r="B135" s="697" t="s">
        <v>4252</v>
      </c>
      <c r="C135" s="697" t="s">
        <v>2708</v>
      </c>
      <c r="D135" s="697" t="s">
        <v>4355</v>
      </c>
      <c r="E135" s="697" t="s">
        <v>4356</v>
      </c>
      <c r="F135" s="701">
        <v>2</v>
      </c>
      <c r="G135" s="701">
        <v>100</v>
      </c>
      <c r="H135" s="701"/>
      <c r="I135" s="701">
        <v>50</v>
      </c>
      <c r="J135" s="701"/>
      <c r="K135" s="701"/>
      <c r="L135" s="701"/>
      <c r="M135" s="701"/>
      <c r="N135" s="701"/>
      <c r="O135" s="701"/>
      <c r="P135" s="723"/>
      <c r="Q135" s="702"/>
    </row>
    <row r="136" spans="1:17" ht="14.4" customHeight="1" x14ac:dyDescent="0.3">
      <c r="A136" s="696" t="s">
        <v>4251</v>
      </c>
      <c r="B136" s="697" t="s">
        <v>4252</v>
      </c>
      <c r="C136" s="697" t="s">
        <v>2708</v>
      </c>
      <c r="D136" s="697" t="s">
        <v>4355</v>
      </c>
      <c r="E136" s="697" t="s">
        <v>4357</v>
      </c>
      <c r="F136" s="701">
        <v>3</v>
      </c>
      <c r="G136" s="701">
        <v>150</v>
      </c>
      <c r="H136" s="701">
        <v>3</v>
      </c>
      <c r="I136" s="701">
        <v>50</v>
      </c>
      <c r="J136" s="701">
        <v>1</v>
      </c>
      <c r="K136" s="701">
        <v>50</v>
      </c>
      <c r="L136" s="701">
        <v>1</v>
      </c>
      <c r="M136" s="701">
        <v>50</v>
      </c>
      <c r="N136" s="701"/>
      <c r="O136" s="701"/>
      <c r="P136" s="723"/>
      <c r="Q136" s="702"/>
    </row>
    <row r="137" spans="1:17" ht="14.4" customHeight="1" x14ac:dyDescent="0.3">
      <c r="A137" s="696" t="s">
        <v>4251</v>
      </c>
      <c r="B137" s="697" t="s">
        <v>4252</v>
      </c>
      <c r="C137" s="697" t="s">
        <v>2708</v>
      </c>
      <c r="D137" s="697" t="s">
        <v>4358</v>
      </c>
      <c r="E137" s="697" t="s">
        <v>4359</v>
      </c>
      <c r="F137" s="701">
        <v>686</v>
      </c>
      <c r="G137" s="701">
        <v>8232</v>
      </c>
      <c r="H137" s="701">
        <v>1.1154471544715447</v>
      </c>
      <c r="I137" s="701">
        <v>12</v>
      </c>
      <c r="J137" s="701">
        <v>615</v>
      </c>
      <c r="K137" s="701">
        <v>7380</v>
      </c>
      <c r="L137" s="701">
        <v>1</v>
      </c>
      <c r="M137" s="701">
        <v>12</v>
      </c>
      <c r="N137" s="701">
        <v>574</v>
      </c>
      <c r="O137" s="701">
        <v>7047</v>
      </c>
      <c r="P137" s="723">
        <v>0.95487804878048776</v>
      </c>
      <c r="Q137" s="702">
        <v>12.277003484320558</v>
      </c>
    </row>
    <row r="138" spans="1:17" ht="14.4" customHeight="1" x14ac:dyDescent="0.3">
      <c r="A138" s="696" t="s">
        <v>4251</v>
      </c>
      <c r="B138" s="697" t="s">
        <v>4252</v>
      </c>
      <c r="C138" s="697" t="s">
        <v>2708</v>
      </c>
      <c r="D138" s="697" t="s">
        <v>4360</v>
      </c>
      <c r="E138" s="697" t="s">
        <v>4361</v>
      </c>
      <c r="F138" s="701">
        <v>13</v>
      </c>
      <c r="G138" s="701">
        <v>2379</v>
      </c>
      <c r="H138" s="701">
        <v>1.3</v>
      </c>
      <c r="I138" s="701">
        <v>183</v>
      </c>
      <c r="J138" s="701">
        <v>10</v>
      </c>
      <c r="K138" s="701">
        <v>1830</v>
      </c>
      <c r="L138" s="701">
        <v>1</v>
      </c>
      <c r="M138" s="701">
        <v>183</v>
      </c>
      <c r="N138" s="701">
        <v>9</v>
      </c>
      <c r="O138" s="701">
        <v>1647</v>
      </c>
      <c r="P138" s="723">
        <v>0.9</v>
      </c>
      <c r="Q138" s="702">
        <v>183</v>
      </c>
    </row>
    <row r="139" spans="1:17" ht="14.4" customHeight="1" x14ac:dyDescent="0.3">
      <c r="A139" s="696" t="s">
        <v>4251</v>
      </c>
      <c r="B139" s="697" t="s">
        <v>4252</v>
      </c>
      <c r="C139" s="697" t="s">
        <v>2708</v>
      </c>
      <c r="D139" s="697" t="s">
        <v>4360</v>
      </c>
      <c r="E139" s="697" t="s">
        <v>4362</v>
      </c>
      <c r="F139" s="701"/>
      <c r="G139" s="701"/>
      <c r="H139" s="701"/>
      <c r="I139" s="701"/>
      <c r="J139" s="701">
        <v>4</v>
      </c>
      <c r="K139" s="701">
        <v>732</v>
      </c>
      <c r="L139" s="701">
        <v>1</v>
      </c>
      <c r="M139" s="701">
        <v>183</v>
      </c>
      <c r="N139" s="701">
        <v>3</v>
      </c>
      <c r="O139" s="701">
        <v>549</v>
      </c>
      <c r="P139" s="723">
        <v>0.75</v>
      </c>
      <c r="Q139" s="702">
        <v>183</v>
      </c>
    </row>
    <row r="140" spans="1:17" ht="14.4" customHeight="1" x14ac:dyDescent="0.3">
      <c r="A140" s="696" t="s">
        <v>4251</v>
      </c>
      <c r="B140" s="697" t="s">
        <v>4252</v>
      </c>
      <c r="C140" s="697" t="s">
        <v>2708</v>
      </c>
      <c r="D140" s="697" t="s">
        <v>4363</v>
      </c>
      <c r="E140" s="697" t="s">
        <v>4364</v>
      </c>
      <c r="F140" s="701">
        <v>5</v>
      </c>
      <c r="G140" s="701">
        <v>365</v>
      </c>
      <c r="H140" s="701">
        <v>1.6666666666666667</v>
      </c>
      <c r="I140" s="701">
        <v>73</v>
      </c>
      <c r="J140" s="701">
        <v>3</v>
      </c>
      <c r="K140" s="701">
        <v>219</v>
      </c>
      <c r="L140" s="701">
        <v>1</v>
      </c>
      <c r="M140" s="701">
        <v>73</v>
      </c>
      <c r="N140" s="701">
        <v>3</v>
      </c>
      <c r="O140" s="701">
        <v>219</v>
      </c>
      <c r="P140" s="723">
        <v>1</v>
      </c>
      <c r="Q140" s="702">
        <v>73</v>
      </c>
    </row>
    <row r="141" spans="1:17" ht="14.4" customHeight="1" x14ac:dyDescent="0.3">
      <c r="A141" s="696" t="s">
        <v>4251</v>
      </c>
      <c r="B141" s="697" t="s">
        <v>4252</v>
      </c>
      <c r="C141" s="697" t="s">
        <v>2708</v>
      </c>
      <c r="D141" s="697" t="s">
        <v>4363</v>
      </c>
      <c r="E141" s="697" t="s">
        <v>4365</v>
      </c>
      <c r="F141" s="701">
        <v>12</v>
      </c>
      <c r="G141" s="701">
        <v>876</v>
      </c>
      <c r="H141" s="701">
        <v>0.70588235294117652</v>
      </c>
      <c r="I141" s="701">
        <v>73</v>
      </c>
      <c r="J141" s="701">
        <v>17</v>
      </c>
      <c r="K141" s="701">
        <v>1241</v>
      </c>
      <c r="L141" s="701">
        <v>1</v>
      </c>
      <c r="M141" s="701">
        <v>73</v>
      </c>
      <c r="N141" s="701">
        <v>20</v>
      </c>
      <c r="O141" s="701">
        <v>1460</v>
      </c>
      <c r="P141" s="723">
        <v>1.1764705882352942</v>
      </c>
      <c r="Q141" s="702">
        <v>73</v>
      </c>
    </row>
    <row r="142" spans="1:17" ht="14.4" customHeight="1" x14ac:dyDescent="0.3">
      <c r="A142" s="696" t="s">
        <v>4251</v>
      </c>
      <c r="B142" s="697" t="s">
        <v>4252</v>
      </c>
      <c r="C142" s="697" t="s">
        <v>2708</v>
      </c>
      <c r="D142" s="697" t="s">
        <v>4366</v>
      </c>
      <c r="E142" s="697" t="s">
        <v>4367</v>
      </c>
      <c r="F142" s="701">
        <v>1</v>
      </c>
      <c r="G142" s="701">
        <v>184</v>
      </c>
      <c r="H142" s="701">
        <v>0.5</v>
      </c>
      <c r="I142" s="701">
        <v>184</v>
      </c>
      <c r="J142" s="701">
        <v>2</v>
      </c>
      <c r="K142" s="701">
        <v>368</v>
      </c>
      <c r="L142" s="701">
        <v>1</v>
      </c>
      <c r="M142" s="701">
        <v>184</v>
      </c>
      <c r="N142" s="701">
        <v>4</v>
      </c>
      <c r="O142" s="701">
        <v>736</v>
      </c>
      <c r="P142" s="723">
        <v>2</v>
      </c>
      <c r="Q142" s="702">
        <v>184</v>
      </c>
    </row>
    <row r="143" spans="1:17" ht="14.4" customHeight="1" x14ac:dyDescent="0.3">
      <c r="A143" s="696" t="s">
        <v>4251</v>
      </c>
      <c r="B143" s="697" t="s">
        <v>4252</v>
      </c>
      <c r="C143" s="697" t="s">
        <v>2708</v>
      </c>
      <c r="D143" s="697" t="s">
        <v>4366</v>
      </c>
      <c r="E143" s="697" t="s">
        <v>4368</v>
      </c>
      <c r="F143" s="701">
        <v>3</v>
      </c>
      <c r="G143" s="701">
        <v>552</v>
      </c>
      <c r="H143" s="701">
        <v>0.6</v>
      </c>
      <c r="I143" s="701">
        <v>184</v>
      </c>
      <c r="J143" s="701">
        <v>5</v>
      </c>
      <c r="K143" s="701">
        <v>920</v>
      </c>
      <c r="L143" s="701">
        <v>1</v>
      </c>
      <c r="M143" s="701">
        <v>184</v>
      </c>
      <c r="N143" s="701"/>
      <c r="O143" s="701"/>
      <c r="P143" s="723"/>
      <c r="Q143" s="702"/>
    </row>
    <row r="144" spans="1:17" ht="14.4" customHeight="1" x14ac:dyDescent="0.3">
      <c r="A144" s="696" t="s">
        <v>4251</v>
      </c>
      <c r="B144" s="697" t="s">
        <v>4252</v>
      </c>
      <c r="C144" s="697" t="s">
        <v>2708</v>
      </c>
      <c r="D144" s="697" t="s">
        <v>4369</v>
      </c>
      <c r="E144" s="697" t="s">
        <v>4370</v>
      </c>
      <c r="F144" s="701">
        <v>2</v>
      </c>
      <c r="G144" s="701">
        <v>2566</v>
      </c>
      <c r="H144" s="701"/>
      <c r="I144" s="701">
        <v>1283</v>
      </c>
      <c r="J144" s="701"/>
      <c r="K144" s="701"/>
      <c r="L144" s="701"/>
      <c r="M144" s="701"/>
      <c r="N144" s="701"/>
      <c r="O144" s="701"/>
      <c r="P144" s="723"/>
      <c r="Q144" s="702"/>
    </row>
    <row r="145" spans="1:17" ht="14.4" customHeight="1" x14ac:dyDescent="0.3">
      <c r="A145" s="696" t="s">
        <v>4251</v>
      </c>
      <c r="B145" s="697" t="s">
        <v>4252</v>
      </c>
      <c r="C145" s="697" t="s">
        <v>2708</v>
      </c>
      <c r="D145" s="697" t="s">
        <v>4371</v>
      </c>
      <c r="E145" s="697" t="s">
        <v>4372</v>
      </c>
      <c r="F145" s="701">
        <v>2133</v>
      </c>
      <c r="G145" s="701">
        <v>317817</v>
      </c>
      <c r="H145" s="701">
        <v>0.94589800443458982</v>
      </c>
      <c r="I145" s="701">
        <v>149</v>
      </c>
      <c r="J145" s="701">
        <v>2255</v>
      </c>
      <c r="K145" s="701">
        <v>335995</v>
      </c>
      <c r="L145" s="701">
        <v>1</v>
      </c>
      <c r="M145" s="701">
        <v>149</v>
      </c>
      <c r="N145" s="701">
        <v>2525</v>
      </c>
      <c r="O145" s="701">
        <v>376225</v>
      </c>
      <c r="P145" s="723">
        <v>1.1197339246119733</v>
      </c>
      <c r="Q145" s="702">
        <v>149</v>
      </c>
    </row>
    <row r="146" spans="1:17" ht="14.4" customHeight="1" x14ac:dyDescent="0.3">
      <c r="A146" s="696" t="s">
        <v>4251</v>
      </c>
      <c r="B146" s="697" t="s">
        <v>4252</v>
      </c>
      <c r="C146" s="697" t="s">
        <v>2708</v>
      </c>
      <c r="D146" s="697" t="s">
        <v>4373</v>
      </c>
      <c r="E146" s="697" t="s">
        <v>4374</v>
      </c>
      <c r="F146" s="701">
        <v>6193</v>
      </c>
      <c r="G146" s="701">
        <v>185790</v>
      </c>
      <c r="H146" s="701">
        <v>0.93282120801325497</v>
      </c>
      <c r="I146" s="701">
        <v>30</v>
      </c>
      <c r="J146" s="701">
        <v>6639</v>
      </c>
      <c r="K146" s="701">
        <v>199170</v>
      </c>
      <c r="L146" s="701">
        <v>1</v>
      </c>
      <c r="M146" s="701">
        <v>30</v>
      </c>
      <c r="N146" s="701">
        <v>6580</v>
      </c>
      <c r="O146" s="701">
        <v>197400</v>
      </c>
      <c r="P146" s="723">
        <v>0.99111311944569969</v>
      </c>
      <c r="Q146" s="702">
        <v>30</v>
      </c>
    </row>
    <row r="147" spans="1:17" ht="14.4" customHeight="1" x14ac:dyDescent="0.3">
      <c r="A147" s="696" t="s">
        <v>4251</v>
      </c>
      <c r="B147" s="697" t="s">
        <v>4252</v>
      </c>
      <c r="C147" s="697" t="s">
        <v>2708</v>
      </c>
      <c r="D147" s="697" t="s">
        <v>4375</v>
      </c>
      <c r="E147" s="697" t="s">
        <v>4376</v>
      </c>
      <c r="F147" s="701">
        <v>327</v>
      </c>
      <c r="G147" s="701">
        <v>10137</v>
      </c>
      <c r="H147" s="701">
        <v>0.89344262295081966</v>
      </c>
      <c r="I147" s="701">
        <v>31</v>
      </c>
      <c r="J147" s="701">
        <v>366</v>
      </c>
      <c r="K147" s="701">
        <v>11346</v>
      </c>
      <c r="L147" s="701">
        <v>1</v>
      </c>
      <c r="M147" s="701">
        <v>31</v>
      </c>
      <c r="N147" s="701">
        <v>399</v>
      </c>
      <c r="O147" s="701">
        <v>12369</v>
      </c>
      <c r="P147" s="723">
        <v>1.0901639344262295</v>
      </c>
      <c r="Q147" s="702">
        <v>31</v>
      </c>
    </row>
    <row r="148" spans="1:17" ht="14.4" customHeight="1" x14ac:dyDescent="0.3">
      <c r="A148" s="696" t="s">
        <v>4251</v>
      </c>
      <c r="B148" s="697" t="s">
        <v>4252</v>
      </c>
      <c r="C148" s="697" t="s">
        <v>2708</v>
      </c>
      <c r="D148" s="697" t="s">
        <v>4377</v>
      </c>
      <c r="E148" s="697" t="s">
        <v>4378</v>
      </c>
      <c r="F148" s="701">
        <v>406</v>
      </c>
      <c r="G148" s="701">
        <v>10962</v>
      </c>
      <c r="H148" s="701">
        <v>1.0074441687344913</v>
      </c>
      <c r="I148" s="701">
        <v>27</v>
      </c>
      <c r="J148" s="701">
        <v>403</v>
      </c>
      <c r="K148" s="701">
        <v>10881</v>
      </c>
      <c r="L148" s="701">
        <v>1</v>
      </c>
      <c r="M148" s="701">
        <v>27</v>
      </c>
      <c r="N148" s="701">
        <v>382</v>
      </c>
      <c r="O148" s="701">
        <v>10421</v>
      </c>
      <c r="P148" s="723">
        <v>0.95772447385350612</v>
      </c>
      <c r="Q148" s="702">
        <v>27.280104712041886</v>
      </c>
    </row>
    <row r="149" spans="1:17" ht="14.4" customHeight="1" x14ac:dyDescent="0.3">
      <c r="A149" s="696" t="s">
        <v>4251</v>
      </c>
      <c r="B149" s="697" t="s">
        <v>4252</v>
      </c>
      <c r="C149" s="697" t="s">
        <v>2708</v>
      </c>
      <c r="D149" s="697" t="s">
        <v>4379</v>
      </c>
      <c r="E149" s="697" t="s">
        <v>4380</v>
      </c>
      <c r="F149" s="701">
        <v>1</v>
      </c>
      <c r="G149" s="701">
        <v>256</v>
      </c>
      <c r="H149" s="701">
        <v>1</v>
      </c>
      <c r="I149" s="701">
        <v>256</v>
      </c>
      <c r="J149" s="701">
        <v>1</v>
      </c>
      <c r="K149" s="701">
        <v>256</v>
      </c>
      <c r="L149" s="701">
        <v>1</v>
      </c>
      <c r="M149" s="701">
        <v>256</v>
      </c>
      <c r="N149" s="701">
        <v>4</v>
      </c>
      <c r="O149" s="701">
        <v>1024</v>
      </c>
      <c r="P149" s="723">
        <v>4</v>
      </c>
      <c r="Q149" s="702">
        <v>256</v>
      </c>
    </row>
    <row r="150" spans="1:17" ht="14.4" customHeight="1" x14ac:dyDescent="0.3">
      <c r="A150" s="696" t="s">
        <v>4251</v>
      </c>
      <c r="B150" s="697" t="s">
        <v>4252</v>
      </c>
      <c r="C150" s="697" t="s">
        <v>2708</v>
      </c>
      <c r="D150" s="697" t="s">
        <v>4379</v>
      </c>
      <c r="E150" s="697" t="s">
        <v>4381</v>
      </c>
      <c r="F150" s="701"/>
      <c r="G150" s="701"/>
      <c r="H150" s="701"/>
      <c r="I150" s="701"/>
      <c r="J150" s="701">
        <v>3</v>
      </c>
      <c r="K150" s="701">
        <v>768</v>
      </c>
      <c r="L150" s="701">
        <v>1</v>
      </c>
      <c r="M150" s="701">
        <v>256</v>
      </c>
      <c r="N150" s="701">
        <v>3</v>
      </c>
      <c r="O150" s="701">
        <v>768</v>
      </c>
      <c r="P150" s="723">
        <v>1</v>
      </c>
      <c r="Q150" s="702">
        <v>256</v>
      </c>
    </row>
    <row r="151" spans="1:17" ht="14.4" customHeight="1" x14ac:dyDescent="0.3">
      <c r="A151" s="696" t="s">
        <v>4251</v>
      </c>
      <c r="B151" s="697" t="s">
        <v>4252</v>
      </c>
      <c r="C151" s="697" t="s">
        <v>2708</v>
      </c>
      <c r="D151" s="697" t="s">
        <v>4382</v>
      </c>
      <c r="E151" s="697" t="s">
        <v>4383</v>
      </c>
      <c r="F151" s="701"/>
      <c r="G151" s="701"/>
      <c r="H151" s="701"/>
      <c r="I151" s="701"/>
      <c r="J151" s="701">
        <v>1</v>
      </c>
      <c r="K151" s="701">
        <v>163</v>
      </c>
      <c r="L151" s="701">
        <v>1</v>
      </c>
      <c r="M151" s="701">
        <v>163</v>
      </c>
      <c r="N151" s="701">
        <v>1</v>
      </c>
      <c r="O151" s="701">
        <v>163</v>
      </c>
      <c r="P151" s="723">
        <v>1</v>
      </c>
      <c r="Q151" s="702">
        <v>163</v>
      </c>
    </row>
    <row r="152" spans="1:17" ht="14.4" customHeight="1" x14ac:dyDescent="0.3">
      <c r="A152" s="696" t="s">
        <v>4251</v>
      </c>
      <c r="B152" s="697" t="s">
        <v>4252</v>
      </c>
      <c r="C152" s="697" t="s">
        <v>2708</v>
      </c>
      <c r="D152" s="697" t="s">
        <v>4384</v>
      </c>
      <c r="E152" s="697" t="s">
        <v>4385</v>
      </c>
      <c r="F152" s="701">
        <v>8</v>
      </c>
      <c r="G152" s="701">
        <v>176</v>
      </c>
      <c r="H152" s="701"/>
      <c r="I152" s="701">
        <v>22</v>
      </c>
      <c r="J152" s="701"/>
      <c r="K152" s="701"/>
      <c r="L152" s="701"/>
      <c r="M152" s="701"/>
      <c r="N152" s="701">
        <v>3</v>
      </c>
      <c r="O152" s="701">
        <v>67</v>
      </c>
      <c r="P152" s="723"/>
      <c r="Q152" s="702">
        <v>22.333333333333332</v>
      </c>
    </row>
    <row r="153" spans="1:17" ht="14.4" customHeight="1" x14ac:dyDescent="0.3">
      <c r="A153" s="696" t="s">
        <v>4251</v>
      </c>
      <c r="B153" s="697" t="s">
        <v>4252</v>
      </c>
      <c r="C153" s="697" t="s">
        <v>2708</v>
      </c>
      <c r="D153" s="697" t="s">
        <v>4384</v>
      </c>
      <c r="E153" s="697" t="s">
        <v>4386</v>
      </c>
      <c r="F153" s="701">
        <v>4</v>
      </c>
      <c r="G153" s="701">
        <v>88</v>
      </c>
      <c r="H153" s="701">
        <v>0.33333333333333331</v>
      </c>
      <c r="I153" s="701">
        <v>22</v>
      </c>
      <c r="J153" s="701">
        <v>12</v>
      </c>
      <c r="K153" s="701">
        <v>264</v>
      </c>
      <c r="L153" s="701">
        <v>1</v>
      </c>
      <c r="M153" s="701">
        <v>22</v>
      </c>
      <c r="N153" s="701">
        <v>4</v>
      </c>
      <c r="O153" s="701">
        <v>88</v>
      </c>
      <c r="P153" s="723">
        <v>0.33333333333333331</v>
      </c>
      <c r="Q153" s="702">
        <v>22</v>
      </c>
    </row>
    <row r="154" spans="1:17" ht="14.4" customHeight="1" x14ac:dyDescent="0.3">
      <c r="A154" s="696" t="s">
        <v>4251</v>
      </c>
      <c r="B154" s="697" t="s">
        <v>4252</v>
      </c>
      <c r="C154" s="697" t="s">
        <v>2708</v>
      </c>
      <c r="D154" s="697" t="s">
        <v>4387</v>
      </c>
      <c r="E154" s="697" t="s">
        <v>4388</v>
      </c>
      <c r="F154" s="701">
        <v>1891</v>
      </c>
      <c r="G154" s="701">
        <v>47275</v>
      </c>
      <c r="H154" s="701">
        <v>1.0210583153347732</v>
      </c>
      <c r="I154" s="701">
        <v>25</v>
      </c>
      <c r="J154" s="701">
        <v>1852</v>
      </c>
      <c r="K154" s="701">
        <v>46300</v>
      </c>
      <c r="L154" s="701">
        <v>1</v>
      </c>
      <c r="M154" s="701">
        <v>25</v>
      </c>
      <c r="N154" s="701">
        <v>1860</v>
      </c>
      <c r="O154" s="701">
        <v>47108</v>
      </c>
      <c r="P154" s="723">
        <v>1.017451403887689</v>
      </c>
      <c r="Q154" s="702">
        <v>25.326881720430109</v>
      </c>
    </row>
    <row r="155" spans="1:17" ht="14.4" customHeight="1" x14ac:dyDescent="0.3">
      <c r="A155" s="696" t="s">
        <v>4251</v>
      </c>
      <c r="B155" s="697" t="s">
        <v>4252</v>
      </c>
      <c r="C155" s="697" t="s">
        <v>2708</v>
      </c>
      <c r="D155" s="697" t="s">
        <v>4389</v>
      </c>
      <c r="E155" s="697" t="s">
        <v>4390</v>
      </c>
      <c r="F155" s="701">
        <v>30</v>
      </c>
      <c r="G155" s="701">
        <v>990</v>
      </c>
      <c r="H155" s="701">
        <v>1.5789473684210527</v>
      </c>
      <c r="I155" s="701">
        <v>33</v>
      </c>
      <c r="J155" s="701">
        <v>19</v>
      </c>
      <c r="K155" s="701">
        <v>627</v>
      </c>
      <c r="L155" s="701">
        <v>1</v>
      </c>
      <c r="M155" s="701">
        <v>33</v>
      </c>
      <c r="N155" s="701">
        <v>13</v>
      </c>
      <c r="O155" s="701">
        <v>429</v>
      </c>
      <c r="P155" s="723">
        <v>0.68421052631578949</v>
      </c>
      <c r="Q155" s="702">
        <v>33</v>
      </c>
    </row>
    <row r="156" spans="1:17" ht="14.4" customHeight="1" x14ac:dyDescent="0.3">
      <c r="A156" s="696" t="s">
        <v>4251</v>
      </c>
      <c r="B156" s="697" t="s">
        <v>4252</v>
      </c>
      <c r="C156" s="697" t="s">
        <v>2708</v>
      </c>
      <c r="D156" s="697" t="s">
        <v>4389</v>
      </c>
      <c r="E156" s="697" t="s">
        <v>4391</v>
      </c>
      <c r="F156" s="701">
        <v>1</v>
      </c>
      <c r="G156" s="701">
        <v>33</v>
      </c>
      <c r="H156" s="701">
        <v>1</v>
      </c>
      <c r="I156" s="701">
        <v>33</v>
      </c>
      <c r="J156" s="701">
        <v>1</v>
      </c>
      <c r="K156" s="701">
        <v>33</v>
      </c>
      <c r="L156" s="701">
        <v>1</v>
      </c>
      <c r="M156" s="701">
        <v>33</v>
      </c>
      <c r="N156" s="701">
        <v>1</v>
      </c>
      <c r="O156" s="701">
        <v>33</v>
      </c>
      <c r="P156" s="723">
        <v>1</v>
      </c>
      <c r="Q156" s="702">
        <v>33</v>
      </c>
    </row>
    <row r="157" spans="1:17" ht="14.4" customHeight="1" x14ac:dyDescent="0.3">
      <c r="A157" s="696" t="s">
        <v>4251</v>
      </c>
      <c r="B157" s="697" t="s">
        <v>4252</v>
      </c>
      <c r="C157" s="697" t="s">
        <v>2708</v>
      </c>
      <c r="D157" s="697" t="s">
        <v>4392</v>
      </c>
      <c r="E157" s="697" t="s">
        <v>4393</v>
      </c>
      <c r="F157" s="701">
        <v>1</v>
      </c>
      <c r="G157" s="701">
        <v>30</v>
      </c>
      <c r="H157" s="701"/>
      <c r="I157" s="701">
        <v>30</v>
      </c>
      <c r="J157" s="701"/>
      <c r="K157" s="701"/>
      <c r="L157" s="701"/>
      <c r="M157" s="701"/>
      <c r="N157" s="701">
        <v>2</v>
      </c>
      <c r="O157" s="701">
        <v>60</v>
      </c>
      <c r="P157" s="723"/>
      <c r="Q157" s="702">
        <v>30</v>
      </c>
    </row>
    <row r="158" spans="1:17" ht="14.4" customHeight="1" x14ac:dyDescent="0.3">
      <c r="A158" s="696" t="s">
        <v>4251</v>
      </c>
      <c r="B158" s="697" t="s">
        <v>4252</v>
      </c>
      <c r="C158" s="697" t="s">
        <v>2708</v>
      </c>
      <c r="D158" s="697" t="s">
        <v>4392</v>
      </c>
      <c r="E158" s="697" t="s">
        <v>4394</v>
      </c>
      <c r="F158" s="701"/>
      <c r="G158" s="701"/>
      <c r="H158" s="701"/>
      <c r="I158" s="701"/>
      <c r="J158" s="701">
        <v>2</v>
      </c>
      <c r="K158" s="701">
        <v>60</v>
      </c>
      <c r="L158" s="701">
        <v>1</v>
      </c>
      <c r="M158" s="701">
        <v>30</v>
      </c>
      <c r="N158" s="701"/>
      <c r="O158" s="701"/>
      <c r="P158" s="723"/>
      <c r="Q158" s="702"/>
    </row>
    <row r="159" spans="1:17" ht="14.4" customHeight="1" x14ac:dyDescent="0.3">
      <c r="A159" s="696" t="s">
        <v>4251</v>
      </c>
      <c r="B159" s="697" t="s">
        <v>4252</v>
      </c>
      <c r="C159" s="697" t="s">
        <v>2708</v>
      </c>
      <c r="D159" s="697" t="s">
        <v>4395</v>
      </c>
      <c r="E159" s="697" t="s">
        <v>4396</v>
      </c>
      <c r="F159" s="701">
        <v>1</v>
      </c>
      <c r="G159" s="701">
        <v>80</v>
      </c>
      <c r="H159" s="701"/>
      <c r="I159" s="701">
        <v>80</v>
      </c>
      <c r="J159" s="701"/>
      <c r="K159" s="701"/>
      <c r="L159" s="701"/>
      <c r="M159" s="701"/>
      <c r="N159" s="701"/>
      <c r="O159" s="701"/>
      <c r="P159" s="723"/>
      <c r="Q159" s="702"/>
    </row>
    <row r="160" spans="1:17" ht="14.4" customHeight="1" x14ac:dyDescent="0.3">
      <c r="A160" s="696" t="s">
        <v>4251</v>
      </c>
      <c r="B160" s="697" t="s">
        <v>4252</v>
      </c>
      <c r="C160" s="697" t="s">
        <v>2708</v>
      </c>
      <c r="D160" s="697" t="s">
        <v>4397</v>
      </c>
      <c r="E160" s="697" t="s">
        <v>4398</v>
      </c>
      <c r="F160" s="701"/>
      <c r="G160" s="701"/>
      <c r="H160" s="701"/>
      <c r="I160" s="701"/>
      <c r="J160" s="701"/>
      <c r="K160" s="701"/>
      <c r="L160" s="701"/>
      <c r="M160" s="701"/>
      <c r="N160" s="701">
        <v>2</v>
      </c>
      <c r="O160" s="701">
        <v>409</v>
      </c>
      <c r="P160" s="723"/>
      <c r="Q160" s="702">
        <v>204.5</v>
      </c>
    </row>
    <row r="161" spans="1:17" ht="14.4" customHeight="1" x14ac:dyDescent="0.3">
      <c r="A161" s="696" t="s">
        <v>4251</v>
      </c>
      <c r="B161" s="697" t="s">
        <v>4252</v>
      </c>
      <c r="C161" s="697" t="s">
        <v>2708</v>
      </c>
      <c r="D161" s="697" t="s">
        <v>4399</v>
      </c>
      <c r="E161" s="697" t="s">
        <v>4400</v>
      </c>
      <c r="F161" s="701">
        <v>576</v>
      </c>
      <c r="G161" s="701">
        <v>14976</v>
      </c>
      <c r="H161" s="701">
        <v>0.72819216182048041</v>
      </c>
      <c r="I161" s="701">
        <v>26</v>
      </c>
      <c r="J161" s="701">
        <v>791</v>
      </c>
      <c r="K161" s="701">
        <v>20566</v>
      </c>
      <c r="L161" s="701">
        <v>1</v>
      </c>
      <c r="M161" s="701">
        <v>26</v>
      </c>
      <c r="N161" s="701">
        <v>722</v>
      </c>
      <c r="O161" s="701">
        <v>18772</v>
      </c>
      <c r="P161" s="723">
        <v>0.91276864728192164</v>
      </c>
      <c r="Q161" s="702">
        <v>26</v>
      </c>
    </row>
    <row r="162" spans="1:17" ht="14.4" customHeight="1" x14ac:dyDescent="0.3">
      <c r="A162" s="696" t="s">
        <v>4251</v>
      </c>
      <c r="B162" s="697" t="s">
        <v>4252</v>
      </c>
      <c r="C162" s="697" t="s">
        <v>2708</v>
      </c>
      <c r="D162" s="697" t="s">
        <v>4401</v>
      </c>
      <c r="E162" s="697" t="s">
        <v>4402</v>
      </c>
      <c r="F162" s="701">
        <v>4</v>
      </c>
      <c r="G162" s="701">
        <v>336</v>
      </c>
      <c r="H162" s="701"/>
      <c r="I162" s="701">
        <v>84</v>
      </c>
      <c r="J162" s="701"/>
      <c r="K162" s="701"/>
      <c r="L162" s="701"/>
      <c r="M162" s="701"/>
      <c r="N162" s="701"/>
      <c r="O162" s="701"/>
      <c r="P162" s="723"/>
      <c r="Q162" s="702"/>
    </row>
    <row r="163" spans="1:17" ht="14.4" customHeight="1" x14ac:dyDescent="0.3">
      <c r="A163" s="696" t="s">
        <v>4251</v>
      </c>
      <c r="B163" s="697" t="s">
        <v>4252</v>
      </c>
      <c r="C163" s="697" t="s">
        <v>2708</v>
      </c>
      <c r="D163" s="697" t="s">
        <v>4401</v>
      </c>
      <c r="E163" s="697" t="s">
        <v>4403</v>
      </c>
      <c r="F163" s="701">
        <v>219</v>
      </c>
      <c r="G163" s="701">
        <v>18396</v>
      </c>
      <c r="H163" s="701">
        <v>0.75</v>
      </c>
      <c r="I163" s="701">
        <v>84</v>
      </c>
      <c r="J163" s="701">
        <v>292</v>
      </c>
      <c r="K163" s="701">
        <v>24528</v>
      </c>
      <c r="L163" s="701">
        <v>1</v>
      </c>
      <c r="M163" s="701">
        <v>84</v>
      </c>
      <c r="N163" s="701">
        <v>304</v>
      </c>
      <c r="O163" s="701">
        <v>25536</v>
      </c>
      <c r="P163" s="723">
        <v>1.0410958904109588</v>
      </c>
      <c r="Q163" s="702">
        <v>84</v>
      </c>
    </row>
    <row r="164" spans="1:17" ht="14.4" customHeight="1" x14ac:dyDescent="0.3">
      <c r="A164" s="696" t="s">
        <v>4251</v>
      </c>
      <c r="B164" s="697" t="s">
        <v>4252</v>
      </c>
      <c r="C164" s="697" t="s">
        <v>2708</v>
      </c>
      <c r="D164" s="697" t="s">
        <v>4404</v>
      </c>
      <c r="E164" s="697" t="s">
        <v>4405</v>
      </c>
      <c r="F164" s="701"/>
      <c r="G164" s="701"/>
      <c r="H164" s="701"/>
      <c r="I164" s="701"/>
      <c r="J164" s="701">
        <v>6</v>
      </c>
      <c r="K164" s="701">
        <v>1056</v>
      </c>
      <c r="L164" s="701">
        <v>1</v>
      </c>
      <c r="M164" s="701">
        <v>176</v>
      </c>
      <c r="N164" s="701">
        <v>0</v>
      </c>
      <c r="O164" s="701">
        <v>0</v>
      </c>
      <c r="P164" s="723">
        <v>0</v>
      </c>
      <c r="Q164" s="702"/>
    </row>
    <row r="165" spans="1:17" ht="14.4" customHeight="1" x14ac:dyDescent="0.3">
      <c r="A165" s="696" t="s">
        <v>4251</v>
      </c>
      <c r="B165" s="697" t="s">
        <v>4252</v>
      </c>
      <c r="C165" s="697" t="s">
        <v>2708</v>
      </c>
      <c r="D165" s="697" t="s">
        <v>4404</v>
      </c>
      <c r="E165" s="697" t="s">
        <v>4406</v>
      </c>
      <c r="F165" s="701">
        <v>20</v>
      </c>
      <c r="G165" s="701">
        <v>3520</v>
      </c>
      <c r="H165" s="701">
        <v>1.25</v>
      </c>
      <c r="I165" s="701">
        <v>176</v>
      </c>
      <c r="J165" s="701">
        <v>16</v>
      </c>
      <c r="K165" s="701">
        <v>2816</v>
      </c>
      <c r="L165" s="701">
        <v>1</v>
      </c>
      <c r="M165" s="701">
        <v>176</v>
      </c>
      <c r="N165" s="701">
        <v>15</v>
      </c>
      <c r="O165" s="701">
        <v>2640</v>
      </c>
      <c r="P165" s="723">
        <v>0.9375</v>
      </c>
      <c r="Q165" s="702">
        <v>176</v>
      </c>
    </row>
    <row r="166" spans="1:17" ht="14.4" customHeight="1" x14ac:dyDescent="0.3">
      <c r="A166" s="696" t="s">
        <v>4251</v>
      </c>
      <c r="B166" s="697" t="s">
        <v>4252</v>
      </c>
      <c r="C166" s="697" t="s">
        <v>2708</v>
      </c>
      <c r="D166" s="697" t="s">
        <v>4407</v>
      </c>
      <c r="E166" s="697" t="s">
        <v>4408</v>
      </c>
      <c r="F166" s="701"/>
      <c r="G166" s="701"/>
      <c r="H166" s="701"/>
      <c r="I166" s="701"/>
      <c r="J166" s="701">
        <v>1</v>
      </c>
      <c r="K166" s="701">
        <v>253</v>
      </c>
      <c r="L166" s="701">
        <v>1</v>
      </c>
      <c r="M166" s="701">
        <v>253</v>
      </c>
      <c r="N166" s="701">
        <v>1</v>
      </c>
      <c r="O166" s="701">
        <v>253</v>
      </c>
      <c r="P166" s="723">
        <v>1</v>
      </c>
      <c r="Q166" s="702">
        <v>253</v>
      </c>
    </row>
    <row r="167" spans="1:17" ht="14.4" customHeight="1" x14ac:dyDescent="0.3">
      <c r="A167" s="696" t="s">
        <v>4251</v>
      </c>
      <c r="B167" s="697" t="s">
        <v>4252</v>
      </c>
      <c r="C167" s="697" t="s">
        <v>2708</v>
      </c>
      <c r="D167" s="697" t="s">
        <v>4407</v>
      </c>
      <c r="E167" s="697" t="s">
        <v>4409</v>
      </c>
      <c r="F167" s="701">
        <v>1</v>
      </c>
      <c r="G167" s="701">
        <v>253</v>
      </c>
      <c r="H167" s="701">
        <v>1</v>
      </c>
      <c r="I167" s="701">
        <v>253</v>
      </c>
      <c r="J167" s="701">
        <v>1</v>
      </c>
      <c r="K167" s="701">
        <v>253</v>
      </c>
      <c r="L167" s="701">
        <v>1</v>
      </c>
      <c r="M167" s="701">
        <v>253</v>
      </c>
      <c r="N167" s="701">
        <v>1</v>
      </c>
      <c r="O167" s="701">
        <v>253</v>
      </c>
      <c r="P167" s="723">
        <v>1</v>
      </c>
      <c r="Q167" s="702">
        <v>253</v>
      </c>
    </row>
    <row r="168" spans="1:17" ht="14.4" customHeight="1" x14ac:dyDescent="0.3">
      <c r="A168" s="696" t="s">
        <v>4251</v>
      </c>
      <c r="B168" s="697" t="s">
        <v>4252</v>
      </c>
      <c r="C168" s="697" t="s">
        <v>2708</v>
      </c>
      <c r="D168" s="697" t="s">
        <v>4410</v>
      </c>
      <c r="E168" s="697" t="s">
        <v>4411</v>
      </c>
      <c r="F168" s="701">
        <v>186</v>
      </c>
      <c r="G168" s="701">
        <v>2790</v>
      </c>
      <c r="H168" s="701">
        <v>0.77500000000000002</v>
      </c>
      <c r="I168" s="701">
        <v>15</v>
      </c>
      <c r="J168" s="701">
        <v>240</v>
      </c>
      <c r="K168" s="701">
        <v>3600</v>
      </c>
      <c r="L168" s="701">
        <v>1</v>
      </c>
      <c r="M168" s="701">
        <v>15</v>
      </c>
      <c r="N168" s="701">
        <v>310</v>
      </c>
      <c r="O168" s="701">
        <v>4757</v>
      </c>
      <c r="P168" s="723">
        <v>1.3213888888888889</v>
      </c>
      <c r="Q168" s="702">
        <v>15.345161290322581</v>
      </c>
    </row>
    <row r="169" spans="1:17" ht="14.4" customHeight="1" x14ac:dyDescent="0.3">
      <c r="A169" s="696" t="s">
        <v>4251</v>
      </c>
      <c r="B169" s="697" t="s">
        <v>4252</v>
      </c>
      <c r="C169" s="697" t="s">
        <v>2708</v>
      </c>
      <c r="D169" s="697" t="s">
        <v>4410</v>
      </c>
      <c r="E169" s="697" t="s">
        <v>4412</v>
      </c>
      <c r="F169" s="701">
        <v>3</v>
      </c>
      <c r="G169" s="701">
        <v>45</v>
      </c>
      <c r="H169" s="701"/>
      <c r="I169" s="701">
        <v>15</v>
      </c>
      <c r="J169" s="701"/>
      <c r="K169" s="701"/>
      <c r="L169" s="701"/>
      <c r="M169" s="701"/>
      <c r="N169" s="701"/>
      <c r="O169" s="701"/>
      <c r="P169" s="723"/>
      <c r="Q169" s="702"/>
    </row>
    <row r="170" spans="1:17" ht="14.4" customHeight="1" x14ac:dyDescent="0.3">
      <c r="A170" s="696" t="s">
        <v>4251</v>
      </c>
      <c r="B170" s="697" t="s">
        <v>4252</v>
      </c>
      <c r="C170" s="697" t="s">
        <v>2708</v>
      </c>
      <c r="D170" s="697" t="s">
        <v>4413</v>
      </c>
      <c r="E170" s="697" t="s">
        <v>4414</v>
      </c>
      <c r="F170" s="701">
        <v>136</v>
      </c>
      <c r="G170" s="701">
        <v>3128</v>
      </c>
      <c r="H170" s="701">
        <v>0.54183266932270913</v>
      </c>
      <c r="I170" s="701">
        <v>23</v>
      </c>
      <c r="J170" s="701">
        <v>251</v>
      </c>
      <c r="K170" s="701">
        <v>5773</v>
      </c>
      <c r="L170" s="701">
        <v>1</v>
      </c>
      <c r="M170" s="701">
        <v>23</v>
      </c>
      <c r="N170" s="701">
        <v>255</v>
      </c>
      <c r="O170" s="701">
        <v>5865</v>
      </c>
      <c r="P170" s="723">
        <v>1.0159362549800797</v>
      </c>
      <c r="Q170" s="702">
        <v>23</v>
      </c>
    </row>
    <row r="171" spans="1:17" ht="14.4" customHeight="1" x14ac:dyDescent="0.3">
      <c r="A171" s="696" t="s">
        <v>4251</v>
      </c>
      <c r="B171" s="697" t="s">
        <v>4252</v>
      </c>
      <c r="C171" s="697" t="s">
        <v>2708</v>
      </c>
      <c r="D171" s="697" t="s">
        <v>4413</v>
      </c>
      <c r="E171" s="697" t="s">
        <v>4415</v>
      </c>
      <c r="F171" s="701">
        <v>3</v>
      </c>
      <c r="G171" s="701">
        <v>69</v>
      </c>
      <c r="H171" s="701"/>
      <c r="I171" s="701">
        <v>23</v>
      </c>
      <c r="J171" s="701"/>
      <c r="K171" s="701"/>
      <c r="L171" s="701"/>
      <c r="M171" s="701"/>
      <c r="N171" s="701"/>
      <c r="O171" s="701"/>
      <c r="P171" s="723"/>
      <c r="Q171" s="702"/>
    </row>
    <row r="172" spans="1:17" ht="14.4" customHeight="1" x14ac:dyDescent="0.3">
      <c r="A172" s="696" t="s">
        <v>4251</v>
      </c>
      <c r="B172" s="697" t="s">
        <v>4252</v>
      </c>
      <c r="C172" s="697" t="s">
        <v>2708</v>
      </c>
      <c r="D172" s="697" t="s">
        <v>4416</v>
      </c>
      <c r="E172" s="697" t="s">
        <v>4417</v>
      </c>
      <c r="F172" s="701"/>
      <c r="G172" s="701"/>
      <c r="H172" s="701"/>
      <c r="I172" s="701"/>
      <c r="J172" s="701">
        <v>1</v>
      </c>
      <c r="K172" s="701">
        <v>252</v>
      </c>
      <c r="L172" s="701">
        <v>1</v>
      </c>
      <c r="M172" s="701">
        <v>252</v>
      </c>
      <c r="N172" s="701">
        <v>1</v>
      </c>
      <c r="O172" s="701">
        <v>252</v>
      </c>
      <c r="P172" s="723">
        <v>1</v>
      </c>
      <c r="Q172" s="702">
        <v>252</v>
      </c>
    </row>
    <row r="173" spans="1:17" ht="14.4" customHeight="1" x14ac:dyDescent="0.3">
      <c r="A173" s="696" t="s">
        <v>4251</v>
      </c>
      <c r="B173" s="697" t="s">
        <v>4252</v>
      </c>
      <c r="C173" s="697" t="s">
        <v>2708</v>
      </c>
      <c r="D173" s="697" t="s">
        <v>4416</v>
      </c>
      <c r="E173" s="697" t="s">
        <v>4418</v>
      </c>
      <c r="F173" s="701">
        <v>1</v>
      </c>
      <c r="G173" s="701">
        <v>252</v>
      </c>
      <c r="H173" s="701"/>
      <c r="I173" s="701">
        <v>252</v>
      </c>
      <c r="J173" s="701"/>
      <c r="K173" s="701"/>
      <c r="L173" s="701"/>
      <c r="M173" s="701"/>
      <c r="N173" s="701"/>
      <c r="O173" s="701"/>
      <c r="P173" s="723"/>
      <c r="Q173" s="702"/>
    </row>
    <row r="174" spans="1:17" ht="14.4" customHeight="1" x14ac:dyDescent="0.3">
      <c r="A174" s="696" t="s">
        <v>4251</v>
      </c>
      <c r="B174" s="697" t="s">
        <v>4252</v>
      </c>
      <c r="C174" s="697" t="s">
        <v>2708</v>
      </c>
      <c r="D174" s="697" t="s">
        <v>4419</v>
      </c>
      <c r="E174" s="697" t="s">
        <v>4420</v>
      </c>
      <c r="F174" s="701">
        <v>405</v>
      </c>
      <c r="G174" s="701">
        <v>14985</v>
      </c>
      <c r="H174" s="701">
        <v>0.81983805668016196</v>
      </c>
      <c r="I174" s="701">
        <v>37</v>
      </c>
      <c r="J174" s="701">
        <v>494</v>
      </c>
      <c r="K174" s="701">
        <v>18278</v>
      </c>
      <c r="L174" s="701">
        <v>1</v>
      </c>
      <c r="M174" s="701">
        <v>37</v>
      </c>
      <c r="N174" s="701">
        <v>589</v>
      </c>
      <c r="O174" s="701">
        <v>21793</v>
      </c>
      <c r="P174" s="723">
        <v>1.1923076923076923</v>
      </c>
      <c r="Q174" s="702">
        <v>37</v>
      </c>
    </row>
    <row r="175" spans="1:17" ht="14.4" customHeight="1" x14ac:dyDescent="0.3">
      <c r="A175" s="696" t="s">
        <v>4251</v>
      </c>
      <c r="B175" s="697" t="s">
        <v>4252</v>
      </c>
      <c r="C175" s="697" t="s">
        <v>2708</v>
      </c>
      <c r="D175" s="697" t="s">
        <v>4419</v>
      </c>
      <c r="E175" s="697" t="s">
        <v>4421</v>
      </c>
      <c r="F175" s="701">
        <v>13</v>
      </c>
      <c r="G175" s="701">
        <v>481</v>
      </c>
      <c r="H175" s="701"/>
      <c r="I175" s="701">
        <v>37</v>
      </c>
      <c r="J175" s="701"/>
      <c r="K175" s="701"/>
      <c r="L175" s="701"/>
      <c r="M175" s="701"/>
      <c r="N175" s="701"/>
      <c r="O175" s="701"/>
      <c r="P175" s="723"/>
      <c r="Q175" s="702"/>
    </row>
    <row r="176" spans="1:17" ht="14.4" customHeight="1" x14ac:dyDescent="0.3">
      <c r="A176" s="696" t="s">
        <v>4251</v>
      </c>
      <c r="B176" s="697" t="s">
        <v>4252</v>
      </c>
      <c r="C176" s="697" t="s">
        <v>2708</v>
      </c>
      <c r="D176" s="697" t="s">
        <v>4422</v>
      </c>
      <c r="E176" s="697" t="s">
        <v>4423</v>
      </c>
      <c r="F176" s="701">
        <v>5735</v>
      </c>
      <c r="G176" s="701">
        <v>131905</v>
      </c>
      <c r="H176" s="701">
        <v>0.90158780066027355</v>
      </c>
      <c r="I176" s="701">
        <v>23</v>
      </c>
      <c r="J176" s="701">
        <v>6361</v>
      </c>
      <c r="K176" s="701">
        <v>146303</v>
      </c>
      <c r="L176" s="701">
        <v>1</v>
      </c>
      <c r="M176" s="701">
        <v>23</v>
      </c>
      <c r="N176" s="701">
        <v>6334</v>
      </c>
      <c r="O176" s="701">
        <v>145682</v>
      </c>
      <c r="P176" s="723">
        <v>0.99575538437352618</v>
      </c>
      <c r="Q176" s="702">
        <v>23</v>
      </c>
    </row>
    <row r="177" spans="1:17" ht="14.4" customHeight="1" x14ac:dyDescent="0.3">
      <c r="A177" s="696" t="s">
        <v>4251</v>
      </c>
      <c r="B177" s="697" t="s">
        <v>4252</v>
      </c>
      <c r="C177" s="697" t="s">
        <v>2708</v>
      </c>
      <c r="D177" s="697" t="s">
        <v>4424</v>
      </c>
      <c r="E177" s="697" t="s">
        <v>4425</v>
      </c>
      <c r="F177" s="701"/>
      <c r="G177" s="701"/>
      <c r="H177" s="701"/>
      <c r="I177" s="701"/>
      <c r="J177" s="701">
        <v>1</v>
      </c>
      <c r="K177" s="701">
        <v>171</v>
      </c>
      <c r="L177" s="701">
        <v>1</v>
      </c>
      <c r="M177" s="701">
        <v>171</v>
      </c>
      <c r="N177" s="701">
        <v>1</v>
      </c>
      <c r="O177" s="701">
        <v>171</v>
      </c>
      <c r="P177" s="723">
        <v>1</v>
      </c>
      <c r="Q177" s="702">
        <v>171</v>
      </c>
    </row>
    <row r="178" spans="1:17" ht="14.4" customHeight="1" x14ac:dyDescent="0.3">
      <c r="A178" s="696" t="s">
        <v>4251</v>
      </c>
      <c r="B178" s="697" t="s">
        <v>4252</v>
      </c>
      <c r="C178" s="697" t="s">
        <v>2708</v>
      </c>
      <c r="D178" s="697" t="s">
        <v>4424</v>
      </c>
      <c r="E178" s="697" t="s">
        <v>4426</v>
      </c>
      <c r="F178" s="701">
        <v>1</v>
      </c>
      <c r="G178" s="701">
        <v>171</v>
      </c>
      <c r="H178" s="701"/>
      <c r="I178" s="701">
        <v>171</v>
      </c>
      <c r="J178" s="701"/>
      <c r="K178" s="701"/>
      <c r="L178" s="701"/>
      <c r="M178" s="701"/>
      <c r="N178" s="701"/>
      <c r="O178" s="701"/>
      <c r="P178" s="723"/>
      <c r="Q178" s="702"/>
    </row>
    <row r="179" spans="1:17" ht="14.4" customHeight="1" x14ac:dyDescent="0.3">
      <c r="A179" s="696" t="s">
        <v>4251</v>
      </c>
      <c r="B179" s="697" t="s">
        <v>4252</v>
      </c>
      <c r="C179" s="697" t="s">
        <v>2708</v>
      </c>
      <c r="D179" s="697" t="s">
        <v>4427</v>
      </c>
      <c r="E179" s="697" t="s">
        <v>4428</v>
      </c>
      <c r="F179" s="701"/>
      <c r="G179" s="701"/>
      <c r="H179" s="701"/>
      <c r="I179" s="701"/>
      <c r="J179" s="701">
        <v>3</v>
      </c>
      <c r="K179" s="701">
        <v>993</v>
      </c>
      <c r="L179" s="701">
        <v>1</v>
      </c>
      <c r="M179" s="701">
        <v>331</v>
      </c>
      <c r="N179" s="701"/>
      <c r="O179" s="701"/>
      <c r="P179" s="723"/>
      <c r="Q179" s="702"/>
    </row>
    <row r="180" spans="1:17" ht="14.4" customHeight="1" x14ac:dyDescent="0.3">
      <c r="A180" s="696" t="s">
        <v>4251</v>
      </c>
      <c r="B180" s="697" t="s">
        <v>4252</v>
      </c>
      <c r="C180" s="697" t="s">
        <v>2708</v>
      </c>
      <c r="D180" s="697" t="s">
        <v>4429</v>
      </c>
      <c r="E180" s="697" t="s">
        <v>4430</v>
      </c>
      <c r="F180" s="701"/>
      <c r="G180" s="701"/>
      <c r="H180" s="701"/>
      <c r="I180" s="701"/>
      <c r="J180" s="701">
        <v>1</v>
      </c>
      <c r="K180" s="701">
        <v>277</v>
      </c>
      <c r="L180" s="701">
        <v>1</v>
      </c>
      <c r="M180" s="701">
        <v>277</v>
      </c>
      <c r="N180" s="701"/>
      <c r="O180" s="701"/>
      <c r="P180" s="723"/>
      <c r="Q180" s="702"/>
    </row>
    <row r="181" spans="1:17" ht="14.4" customHeight="1" x14ac:dyDescent="0.3">
      <c r="A181" s="696" t="s">
        <v>4251</v>
      </c>
      <c r="B181" s="697" t="s">
        <v>4252</v>
      </c>
      <c r="C181" s="697" t="s">
        <v>2708</v>
      </c>
      <c r="D181" s="697" t="s">
        <v>4431</v>
      </c>
      <c r="E181" s="697" t="s">
        <v>4432</v>
      </c>
      <c r="F181" s="701">
        <v>173</v>
      </c>
      <c r="G181" s="701">
        <v>5017</v>
      </c>
      <c r="H181" s="701">
        <v>0.80092592592592593</v>
      </c>
      <c r="I181" s="701">
        <v>29</v>
      </c>
      <c r="J181" s="701">
        <v>216</v>
      </c>
      <c r="K181" s="701">
        <v>6264</v>
      </c>
      <c r="L181" s="701">
        <v>1</v>
      </c>
      <c r="M181" s="701">
        <v>29</v>
      </c>
      <c r="N181" s="701">
        <v>191</v>
      </c>
      <c r="O181" s="701">
        <v>5539</v>
      </c>
      <c r="P181" s="723">
        <v>0.8842592592592593</v>
      </c>
      <c r="Q181" s="702">
        <v>29</v>
      </c>
    </row>
    <row r="182" spans="1:17" ht="14.4" customHeight="1" x14ac:dyDescent="0.3">
      <c r="A182" s="696" t="s">
        <v>4251</v>
      </c>
      <c r="B182" s="697" t="s">
        <v>4252</v>
      </c>
      <c r="C182" s="697" t="s">
        <v>2708</v>
      </c>
      <c r="D182" s="697" t="s">
        <v>4433</v>
      </c>
      <c r="E182" s="697" t="s">
        <v>4434</v>
      </c>
      <c r="F182" s="701">
        <v>806</v>
      </c>
      <c r="G182" s="701">
        <v>143468</v>
      </c>
      <c r="H182" s="701">
        <v>0.8915929203539823</v>
      </c>
      <c r="I182" s="701">
        <v>178</v>
      </c>
      <c r="J182" s="701">
        <v>904</v>
      </c>
      <c r="K182" s="701">
        <v>160912</v>
      </c>
      <c r="L182" s="701">
        <v>1</v>
      </c>
      <c r="M182" s="701">
        <v>178</v>
      </c>
      <c r="N182" s="701">
        <v>926</v>
      </c>
      <c r="O182" s="701">
        <v>164828</v>
      </c>
      <c r="P182" s="723">
        <v>1.0243362831858407</v>
      </c>
      <c r="Q182" s="702">
        <v>178</v>
      </c>
    </row>
    <row r="183" spans="1:17" ht="14.4" customHeight="1" x14ac:dyDescent="0.3">
      <c r="A183" s="696" t="s">
        <v>4251</v>
      </c>
      <c r="B183" s="697" t="s">
        <v>4252</v>
      </c>
      <c r="C183" s="697" t="s">
        <v>2708</v>
      </c>
      <c r="D183" s="697" t="s">
        <v>4435</v>
      </c>
      <c r="E183" s="697" t="s">
        <v>4436</v>
      </c>
      <c r="F183" s="701">
        <v>3</v>
      </c>
      <c r="G183" s="701">
        <v>597</v>
      </c>
      <c r="H183" s="701">
        <v>1.5</v>
      </c>
      <c r="I183" s="701">
        <v>199</v>
      </c>
      <c r="J183" s="701">
        <v>2</v>
      </c>
      <c r="K183" s="701">
        <v>398</v>
      </c>
      <c r="L183" s="701">
        <v>1</v>
      </c>
      <c r="M183" s="701">
        <v>199</v>
      </c>
      <c r="N183" s="701"/>
      <c r="O183" s="701"/>
      <c r="P183" s="723"/>
      <c r="Q183" s="702"/>
    </row>
    <row r="184" spans="1:17" ht="14.4" customHeight="1" x14ac:dyDescent="0.3">
      <c r="A184" s="696" t="s">
        <v>4251</v>
      </c>
      <c r="B184" s="697" t="s">
        <v>4252</v>
      </c>
      <c r="C184" s="697" t="s">
        <v>2708</v>
      </c>
      <c r="D184" s="697" t="s">
        <v>4437</v>
      </c>
      <c r="E184" s="697" t="s">
        <v>4438</v>
      </c>
      <c r="F184" s="701">
        <v>7</v>
      </c>
      <c r="G184" s="701">
        <v>105</v>
      </c>
      <c r="H184" s="701">
        <v>7</v>
      </c>
      <c r="I184" s="701">
        <v>15</v>
      </c>
      <c r="J184" s="701">
        <v>1</v>
      </c>
      <c r="K184" s="701">
        <v>15</v>
      </c>
      <c r="L184" s="701">
        <v>1</v>
      </c>
      <c r="M184" s="701">
        <v>15</v>
      </c>
      <c r="N184" s="701">
        <v>3</v>
      </c>
      <c r="O184" s="701">
        <v>46</v>
      </c>
      <c r="P184" s="723">
        <v>3.0666666666666669</v>
      </c>
      <c r="Q184" s="702">
        <v>15.333333333333334</v>
      </c>
    </row>
    <row r="185" spans="1:17" ht="14.4" customHeight="1" x14ac:dyDescent="0.3">
      <c r="A185" s="696" t="s">
        <v>4251</v>
      </c>
      <c r="B185" s="697" t="s">
        <v>4252</v>
      </c>
      <c r="C185" s="697" t="s">
        <v>2708</v>
      </c>
      <c r="D185" s="697" t="s">
        <v>4437</v>
      </c>
      <c r="E185" s="697" t="s">
        <v>4439</v>
      </c>
      <c r="F185" s="701">
        <v>6</v>
      </c>
      <c r="G185" s="701">
        <v>90</v>
      </c>
      <c r="H185" s="701">
        <v>6</v>
      </c>
      <c r="I185" s="701">
        <v>15</v>
      </c>
      <c r="J185" s="701">
        <v>1</v>
      </c>
      <c r="K185" s="701">
        <v>15</v>
      </c>
      <c r="L185" s="701">
        <v>1</v>
      </c>
      <c r="M185" s="701">
        <v>15</v>
      </c>
      <c r="N185" s="701">
        <v>2</v>
      </c>
      <c r="O185" s="701">
        <v>32</v>
      </c>
      <c r="P185" s="723">
        <v>2.1333333333333333</v>
      </c>
      <c r="Q185" s="702">
        <v>16</v>
      </c>
    </row>
    <row r="186" spans="1:17" ht="14.4" customHeight="1" x14ac:dyDescent="0.3">
      <c r="A186" s="696" t="s">
        <v>4251</v>
      </c>
      <c r="B186" s="697" t="s">
        <v>4252</v>
      </c>
      <c r="C186" s="697" t="s">
        <v>2708</v>
      </c>
      <c r="D186" s="697" t="s">
        <v>4440</v>
      </c>
      <c r="E186" s="697" t="s">
        <v>4441</v>
      </c>
      <c r="F186" s="701">
        <v>210</v>
      </c>
      <c r="G186" s="701">
        <v>3990</v>
      </c>
      <c r="H186" s="701">
        <v>0.967741935483871</v>
      </c>
      <c r="I186" s="701">
        <v>19</v>
      </c>
      <c r="J186" s="701">
        <v>217</v>
      </c>
      <c r="K186" s="701">
        <v>4123</v>
      </c>
      <c r="L186" s="701">
        <v>1</v>
      </c>
      <c r="M186" s="701">
        <v>19</v>
      </c>
      <c r="N186" s="701">
        <v>221</v>
      </c>
      <c r="O186" s="701">
        <v>4277</v>
      </c>
      <c r="P186" s="723">
        <v>1.0373514431239388</v>
      </c>
      <c r="Q186" s="702">
        <v>19.352941176470587</v>
      </c>
    </row>
    <row r="187" spans="1:17" ht="14.4" customHeight="1" x14ac:dyDescent="0.3">
      <c r="A187" s="696" t="s">
        <v>4251</v>
      </c>
      <c r="B187" s="697" t="s">
        <v>4252</v>
      </c>
      <c r="C187" s="697" t="s">
        <v>2708</v>
      </c>
      <c r="D187" s="697" t="s">
        <v>4440</v>
      </c>
      <c r="E187" s="697" t="s">
        <v>4442</v>
      </c>
      <c r="F187" s="701">
        <v>3</v>
      </c>
      <c r="G187" s="701">
        <v>57</v>
      </c>
      <c r="H187" s="701"/>
      <c r="I187" s="701">
        <v>19</v>
      </c>
      <c r="J187" s="701"/>
      <c r="K187" s="701"/>
      <c r="L187" s="701"/>
      <c r="M187" s="701"/>
      <c r="N187" s="701"/>
      <c r="O187" s="701"/>
      <c r="P187" s="723"/>
      <c r="Q187" s="702"/>
    </row>
    <row r="188" spans="1:17" ht="14.4" customHeight="1" x14ac:dyDescent="0.3">
      <c r="A188" s="696" t="s">
        <v>4251</v>
      </c>
      <c r="B188" s="697" t="s">
        <v>4252</v>
      </c>
      <c r="C188" s="697" t="s">
        <v>2708</v>
      </c>
      <c r="D188" s="697" t="s">
        <v>4443</v>
      </c>
      <c r="E188" s="697" t="s">
        <v>4444</v>
      </c>
      <c r="F188" s="701">
        <v>1226</v>
      </c>
      <c r="G188" s="701">
        <v>24520</v>
      </c>
      <c r="H188" s="701">
        <v>0.84030157642220704</v>
      </c>
      <c r="I188" s="701">
        <v>20</v>
      </c>
      <c r="J188" s="701">
        <v>1459</v>
      </c>
      <c r="K188" s="701">
        <v>29180</v>
      </c>
      <c r="L188" s="701">
        <v>1</v>
      </c>
      <c r="M188" s="701">
        <v>20</v>
      </c>
      <c r="N188" s="701">
        <v>1360</v>
      </c>
      <c r="O188" s="701">
        <v>27200</v>
      </c>
      <c r="P188" s="723">
        <v>0.93214530500342696</v>
      </c>
      <c r="Q188" s="702">
        <v>20</v>
      </c>
    </row>
    <row r="189" spans="1:17" ht="14.4" customHeight="1" x14ac:dyDescent="0.3">
      <c r="A189" s="696" t="s">
        <v>4251</v>
      </c>
      <c r="B189" s="697" t="s">
        <v>4252</v>
      </c>
      <c r="C189" s="697" t="s">
        <v>2708</v>
      </c>
      <c r="D189" s="697" t="s">
        <v>4445</v>
      </c>
      <c r="E189" s="697" t="s">
        <v>4446</v>
      </c>
      <c r="F189" s="701"/>
      <c r="G189" s="701"/>
      <c r="H189" s="701"/>
      <c r="I189" s="701"/>
      <c r="J189" s="701">
        <v>1</v>
      </c>
      <c r="K189" s="701">
        <v>186</v>
      </c>
      <c r="L189" s="701">
        <v>1</v>
      </c>
      <c r="M189" s="701">
        <v>186</v>
      </c>
      <c r="N189" s="701"/>
      <c r="O189" s="701"/>
      <c r="P189" s="723"/>
      <c r="Q189" s="702"/>
    </row>
    <row r="190" spans="1:17" ht="14.4" customHeight="1" x14ac:dyDescent="0.3">
      <c r="A190" s="696" t="s">
        <v>4251</v>
      </c>
      <c r="B190" s="697" t="s">
        <v>4252</v>
      </c>
      <c r="C190" s="697" t="s">
        <v>2708</v>
      </c>
      <c r="D190" s="697" t="s">
        <v>4447</v>
      </c>
      <c r="E190" s="697" t="s">
        <v>4448</v>
      </c>
      <c r="F190" s="701"/>
      <c r="G190" s="701"/>
      <c r="H190" s="701"/>
      <c r="I190" s="701"/>
      <c r="J190" s="701">
        <v>1</v>
      </c>
      <c r="K190" s="701">
        <v>188</v>
      </c>
      <c r="L190" s="701">
        <v>1</v>
      </c>
      <c r="M190" s="701">
        <v>188</v>
      </c>
      <c r="N190" s="701">
        <v>1</v>
      </c>
      <c r="O190" s="701">
        <v>189</v>
      </c>
      <c r="P190" s="723">
        <v>1.0053191489361701</v>
      </c>
      <c r="Q190" s="702">
        <v>189</v>
      </c>
    </row>
    <row r="191" spans="1:17" ht="14.4" customHeight="1" x14ac:dyDescent="0.3">
      <c r="A191" s="696" t="s">
        <v>4251</v>
      </c>
      <c r="B191" s="697" t="s">
        <v>4252</v>
      </c>
      <c r="C191" s="697" t="s">
        <v>2708</v>
      </c>
      <c r="D191" s="697" t="s">
        <v>4449</v>
      </c>
      <c r="E191" s="697" t="s">
        <v>4450</v>
      </c>
      <c r="F191" s="701">
        <v>1</v>
      </c>
      <c r="G191" s="701">
        <v>268</v>
      </c>
      <c r="H191" s="701"/>
      <c r="I191" s="701">
        <v>268</v>
      </c>
      <c r="J191" s="701"/>
      <c r="K191" s="701"/>
      <c r="L191" s="701"/>
      <c r="M191" s="701"/>
      <c r="N191" s="701"/>
      <c r="O191" s="701"/>
      <c r="P191" s="723"/>
      <c r="Q191" s="702"/>
    </row>
    <row r="192" spans="1:17" ht="14.4" customHeight="1" x14ac:dyDescent="0.3">
      <c r="A192" s="696" t="s">
        <v>4251</v>
      </c>
      <c r="B192" s="697" t="s">
        <v>4252</v>
      </c>
      <c r="C192" s="697" t="s">
        <v>2708</v>
      </c>
      <c r="D192" s="697" t="s">
        <v>4451</v>
      </c>
      <c r="E192" s="697" t="s">
        <v>4452</v>
      </c>
      <c r="F192" s="701"/>
      <c r="G192" s="701"/>
      <c r="H192" s="701"/>
      <c r="I192" s="701"/>
      <c r="J192" s="701">
        <v>1</v>
      </c>
      <c r="K192" s="701">
        <v>163</v>
      </c>
      <c r="L192" s="701">
        <v>1</v>
      </c>
      <c r="M192" s="701">
        <v>163</v>
      </c>
      <c r="N192" s="701"/>
      <c r="O192" s="701"/>
      <c r="P192" s="723"/>
      <c r="Q192" s="702"/>
    </row>
    <row r="193" spans="1:17" ht="14.4" customHeight="1" x14ac:dyDescent="0.3">
      <c r="A193" s="696" t="s">
        <v>4251</v>
      </c>
      <c r="B193" s="697" t="s">
        <v>4252</v>
      </c>
      <c r="C193" s="697" t="s">
        <v>2708</v>
      </c>
      <c r="D193" s="697" t="s">
        <v>4453</v>
      </c>
      <c r="E193" s="697" t="s">
        <v>4454</v>
      </c>
      <c r="F193" s="701"/>
      <c r="G193" s="701"/>
      <c r="H193" s="701"/>
      <c r="I193" s="701"/>
      <c r="J193" s="701">
        <v>1</v>
      </c>
      <c r="K193" s="701">
        <v>174</v>
      </c>
      <c r="L193" s="701">
        <v>1</v>
      </c>
      <c r="M193" s="701">
        <v>174</v>
      </c>
      <c r="N193" s="701">
        <v>1</v>
      </c>
      <c r="O193" s="701">
        <v>174</v>
      </c>
      <c r="P193" s="723">
        <v>1</v>
      </c>
      <c r="Q193" s="702">
        <v>174</v>
      </c>
    </row>
    <row r="194" spans="1:17" ht="14.4" customHeight="1" x14ac:dyDescent="0.3">
      <c r="A194" s="696" t="s">
        <v>4251</v>
      </c>
      <c r="B194" s="697" t="s">
        <v>4252</v>
      </c>
      <c r="C194" s="697" t="s">
        <v>2708</v>
      </c>
      <c r="D194" s="697" t="s">
        <v>4453</v>
      </c>
      <c r="E194" s="697" t="s">
        <v>4455</v>
      </c>
      <c r="F194" s="701">
        <v>1</v>
      </c>
      <c r="G194" s="701">
        <v>174</v>
      </c>
      <c r="H194" s="701"/>
      <c r="I194" s="701">
        <v>174</v>
      </c>
      <c r="J194" s="701"/>
      <c r="K194" s="701"/>
      <c r="L194" s="701"/>
      <c r="M194" s="701"/>
      <c r="N194" s="701"/>
      <c r="O194" s="701"/>
      <c r="P194" s="723"/>
      <c r="Q194" s="702"/>
    </row>
    <row r="195" spans="1:17" ht="14.4" customHeight="1" x14ac:dyDescent="0.3">
      <c r="A195" s="696" t="s">
        <v>4251</v>
      </c>
      <c r="B195" s="697" t="s">
        <v>4252</v>
      </c>
      <c r="C195" s="697" t="s">
        <v>2708</v>
      </c>
      <c r="D195" s="697" t="s">
        <v>4456</v>
      </c>
      <c r="E195" s="697" t="s">
        <v>4457</v>
      </c>
      <c r="F195" s="701">
        <v>196</v>
      </c>
      <c r="G195" s="701">
        <v>16464</v>
      </c>
      <c r="H195" s="701">
        <v>0.7</v>
      </c>
      <c r="I195" s="701">
        <v>84</v>
      </c>
      <c r="J195" s="701">
        <v>280</v>
      </c>
      <c r="K195" s="701">
        <v>23520</v>
      </c>
      <c r="L195" s="701">
        <v>1</v>
      </c>
      <c r="M195" s="701">
        <v>84</v>
      </c>
      <c r="N195" s="701">
        <v>342</v>
      </c>
      <c r="O195" s="701">
        <v>28728</v>
      </c>
      <c r="P195" s="723">
        <v>1.2214285714285715</v>
      </c>
      <c r="Q195" s="702">
        <v>84</v>
      </c>
    </row>
    <row r="196" spans="1:17" ht="14.4" customHeight="1" x14ac:dyDescent="0.3">
      <c r="A196" s="696" t="s">
        <v>4251</v>
      </c>
      <c r="B196" s="697" t="s">
        <v>4252</v>
      </c>
      <c r="C196" s="697" t="s">
        <v>2708</v>
      </c>
      <c r="D196" s="697" t="s">
        <v>4456</v>
      </c>
      <c r="E196" s="697" t="s">
        <v>4458</v>
      </c>
      <c r="F196" s="701">
        <v>9</v>
      </c>
      <c r="G196" s="701">
        <v>756</v>
      </c>
      <c r="H196" s="701"/>
      <c r="I196" s="701">
        <v>84</v>
      </c>
      <c r="J196" s="701"/>
      <c r="K196" s="701"/>
      <c r="L196" s="701"/>
      <c r="M196" s="701"/>
      <c r="N196" s="701"/>
      <c r="O196" s="701"/>
      <c r="P196" s="723"/>
      <c r="Q196" s="702"/>
    </row>
    <row r="197" spans="1:17" ht="14.4" customHeight="1" x14ac:dyDescent="0.3">
      <c r="A197" s="696" t="s">
        <v>4251</v>
      </c>
      <c r="B197" s="697" t="s">
        <v>4252</v>
      </c>
      <c r="C197" s="697" t="s">
        <v>2708</v>
      </c>
      <c r="D197" s="697" t="s">
        <v>4459</v>
      </c>
      <c r="E197" s="697" t="s">
        <v>4460</v>
      </c>
      <c r="F197" s="701"/>
      <c r="G197" s="701"/>
      <c r="H197" s="701"/>
      <c r="I197" s="701"/>
      <c r="J197" s="701"/>
      <c r="K197" s="701"/>
      <c r="L197" s="701"/>
      <c r="M197" s="701"/>
      <c r="N197" s="701">
        <v>3</v>
      </c>
      <c r="O197" s="701">
        <v>1962</v>
      </c>
      <c r="P197" s="723"/>
      <c r="Q197" s="702">
        <v>654</v>
      </c>
    </row>
    <row r="198" spans="1:17" ht="14.4" customHeight="1" x14ac:dyDescent="0.3">
      <c r="A198" s="696" t="s">
        <v>4251</v>
      </c>
      <c r="B198" s="697" t="s">
        <v>4252</v>
      </c>
      <c r="C198" s="697" t="s">
        <v>2708</v>
      </c>
      <c r="D198" s="697" t="s">
        <v>4461</v>
      </c>
      <c r="E198" s="697" t="s">
        <v>4462</v>
      </c>
      <c r="F198" s="701">
        <v>1</v>
      </c>
      <c r="G198" s="701">
        <v>78</v>
      </c>
      <c r="H198" s="701">
        <v>1</v>
      </c>
      <c r="I198" s="701">
        <v>78</v>
      </c>
      <c r="J198" s="701">
        <v>1</v>
      </c>
      <c r="K198" s="701">
        <v>78</v>
      </c>
      <c r="L198" s="701">
        <v>1</v>
      </c>
      <c r="M198" s="701">
        <v>78</v>
      </c>
      <c r="N198" s="701">
        <v>1</v>
      </c>
      <c r="O198" s="701">
        <v>78</v>
      </c>
      <c r="P198" s="723">
        <v>1</v>
      </c>
      <c r="Q198" s="702">
        <v>78</v>
      </c>
    </row>
    <row r="199" spans="1:17" ht="14.4" customHeight="1" x14ac:dyDescent="0.3">
      <c r="A199" s="696" t="s">
        <v>4251</v>
      </c>
      <c r="B199" s="697" t="s">
        <v>4252</v>
      </c>
      <c r="C199" s="697" t="s">
        <v>2708</v>
      </c>
      <c r="D199" s="697" t="s">
        <v>4463</v>
      </c>
      <c r="E199" s="697" t="s">
        <v>4464</v>
      </c>
      <c r="F199" s="701"/>
      <c r="G199" s="701"/>
      <c r="H199" s="701"/>
      <c r="I199" s="701"/>
      <c r="J199" s="701">
        <v>2</v>
      </c>
      <c r="K199" s="701">
        <v>602</v>
      </c>
      <c r="L199" s="701">
        <v>1</v>
      </c>
      <c r="M199" s="701">
        <v>301</v>
      </c>
      <c r="N199" s="701"/>
      <c r="O199" s="701"/>
      <c r="P199" s="723"/>
      <c r="Q199" s="702"/>
    </row>
    <row r="200" spans="1:17" ht="14.4" customHeight="1" x14ac:dyDescent="0.3">
      <c r="A200" s="696" t="s">
        <v>4251</v>
      </c>
      <c r="B200" s="697" t="s">
        <v>4252</v>
      </c>
      <c r="C200" s="697" t="s">
        <v>2708</v>
      </c>
      <c r="D200" s="697" t="s">
        <v>4463</v>
      </c>
      <c r="E200" s="697" t="s">
        <v>4465</v>
      </c>
      <c r="F200" s="701">
        <v>1</v>
      </c>
      <c r="G200" s="701">
        <v>301</v>
      </c>
      <c r="H200" s="701">
        <v>0.33333333333333331</v>
      </c>
      <c r="I200" s="701">
        <v>301</v>
      </c>
      <c r="J200" s="701">
        <v>3</v>
      </c>
      <c r="K200" s="701">
        <v>903</v>
      </c>
      <c r="L200" s="701">
        <v>1</v>
      </c>
      <c r="M200" s="701">
        <v>301</v>
      </c>
      <c r="N200" s="701"/>
      <c r="O200" s="701"/>
      <c r="P200" s="723"/>
      <c r="Q200" s="702"/>
    </row>
    <row r="201" spans="1:17" ht="14.4" customHeight="1" x14ac:dyDescent="0.3">
      <c r="A201" s="696" t="s">
        <v>4251</v>
      </c>
      <c r="B201" s="697" t="s">
        <v>4252</v>
      </c>
      <c r="C201" s="697" t="s">
        <v>2708</v>
      </c>
      <c r="D201" s="697" t="s">
        <v>4466</v>
      </c>
      <c r="E201" s="697" t="s">
        <v>4467</v>
      </c>
      <c r="F201" s="701">
        <v>5</v>
      </c>
      <c r="G201" s="701">
        <v>105</v>
      </c>
      <c r="H201" s="701">
        <v>1.6666666666666667</v>
      </c>
      <c r="I201" s="701">
        <v>21</v>
      </c>
      <c r="J201" s="701">
        <v>3</v>
      </c>
      <c r="K201" s="701">
        <v>63</v>
      </c>
      <c r="L201" s="701">
        <v>1</v>
      </c>
      <c r="M201" s="701">
        <v>21</v>
      </c>
      <c r="N201" s="701">
        <v>2</v>
      </c>
      <c r="O201" s="701">
        <v>43</v>
      </c>
      <c r="P201" s="723">
        <v>0.68253968253968256</v>
      </c>
      <c r="Q201" s="702">
        <v>21.5</v>
      </c>
    </row>
    <row r="202" spans="1:17" ht="14.4" customHeight="1" x14ac:dyDescent="0.3">
      <c r="A202" s="696" t="s">
        <v>4251</v>
      </c>
      <c r="B202" s="697" t="s">
        <v>4252</v>
      </c>
      <c r="C202" s="697" t="s">
        <v>2708</v>
      </c>
      <c r="D202" s="697" t="s">
        <v>4468</v>
      </c>
      <c r="E202" s="697" t="s">
        <v>4469</v>
      </c>
      <c r="F202" s="701">
        <v>119</v>
      </c>
      <c r="G202" s="701">
        <v>2618</v>
      </c>
      <c r="H202" s="701">
        <v>0.69590643274853803</v>
      </c>
      <c r="I202" s="701">
        <v>22</v>
      </c>
      <c r="J202" s="701">
        <v>171</v>
      </c>
      <c r="K202" s="701">
        <v>3762</v>
      </c>
      <c r="L202" s="701">
        <v>1</v>
      </c>
      <c r="M202" s="701">
        <v>22</v>
      </c>
      <c r="N202" s="701">
        <v>204</v>
      </c>
      <c r="O202" s="701">
        <v>4488</v>
      </c>
      <c r="P202" s="723">
        <v>1.1929824561403508</v>
      </c>
      <c r="Q202" s="702">
        <v>22</v>
      </c>
    </row>
    <row r="203" spans="1:17" ht="14.4" customHeight="1" x14ac:dyDescent="0.3">
      <c r="A203" s="696" t="s">
        <v>4251</v>
      </c>
      <c r="B203" s="697" t="s">
        <v>4252</v>
      </c>
      <c r="C203" s="697" t="s">
        <v>2708</v>
      </c>
      <c r="D203" s="697" t="s">
        <v>4468</v>
      </c>
      <c r="E203" s="697" t="s">
        <v>4470</v>
      </c>
      <c r="F203" s="701">
        <v>12</v>
      </c>
      <c r="G203" s="701">
        <v>264</v>
      </c>
      <c r="H203" s="701"/>
      <c r="I203" s="701">
        <v>22</v>
      </c>
      <c r="J203" s="701"/>
      <c r="K203" s="701"/>
      <c r="L203" s="701"/>
      <c r="M203" s="701"/>
      <c r="N203" s="701"/>
      <c r="O203" s="701"/>
      <c r="P203" s="723"/>
      <c r="Q203" s="702"/>
    </row>
    <row r="204" spans="1:17" ht="14.4" customHeight="1" x14ac:dyDescent="0.3">
      <c r="A204" s="696" t="s">
        <v>4251</v>
      </c>
      <c r="B204" s="697" t="s">
        <v>4252</v>
      </c>
      <c r="C204" s="697" t="s">
        <v>2708</v>
      </c>
      <c r="D204" s="697" t="s">
        <v>4471</v>
      </c>
      <c r="E204" s="697" t="s">
        <v>4472</v>
      </c>
      <c r="F204" s="701">
        <v>1</v>
      </c>
      <c r="G204" s="701">
        <v>569</v>
      </c>
      <c r="H204" s="701"/>
      <c r="I204" s="701">
        <v>569</v>
      </c>
      <c r="J204" s="701"/>
      <c r="K204" s="701"/>
      <c r="L204" s="701"/>
      <c r="M204" s="701"/>
      <c r="N204" s="701"/>
      <c r="O204" s="701"/>
      <c r="P204" s="723"/>
      <c r="Q204" s="702"/>
    </row>
    <row r="205" spans="1:17" ht="14.4" customHeight="1" x14ac:dyDescent="0.3">
      <c r="A205" s="696" t="s">
        <v>4251</v>
      </c>
      <c r="B205" s="697" t="s">
        <v>4252</v>
      </c>
      <c r="C205" s="697" t="s">
        <v>2708</v>
      </c>
      <c r="D205" s="697" t="s">
        <v>4473</v>
      </c>
      <c r="E205" s="697" t="s">
        <v>4474</v>
      </c>
      <c r="F205" s="701"/>
      <c r="G205" s="701"/>
      <c r="H205" s="701"/>
      <c r="I205" s="701"/>
      <c r="J205" s="701">
        <v>8</v>
      </c>
      <c r="K205" s="701">
        <v>3960</v>
      </c>
      <c r="L205" s="701">
        <v>1</v>
      </c>
      <c r="M205" s="701">
        <v>495</v>
      </c>
      <c r="N205" s="701"/>
      <c r="O205" s="701"/>
      <c r="P205" s="723"/>
      <c r="Q205" s="702"/>
    </row>
    <row r="206" spans="1:17" ht="14.4" customHeight="1" x14ac:dyDescent="0.3">
      <c r="A206" s="696" t="s">
        <v>4251</v>
      </c>
      <c r="B206" s="697" t="s">
        <v>4252</v>
      </c>
      <c r="C206" s="697" t="s">
        <v>2708</v>
      </c>
      <c r="D206" s="697" t="s">
        <v>4473</v>
      </c>
      <c r="E206" s="697" t="s">
        <v>4475</v>
      </c>
      <c r="F206" s="701"/>
      <c r="G206" s="701"/>
      <c r="H206" s="701"/>
      <c r="I206" s="701"/>
      <c r="J206" s="701"/>
      <c r="K206" s="701"/>
      <c r="L206" s="701"/>
      <c r="M206" s="701"/>
      <c r="N206" s="701">
        <v>2</v>
      </c>
      <c r="O206" s="701">
        <v>990</v>
      </c>
      <c r="P206" s="723"/>
      <c r="Q206" s="702">
        <v>495</v>
      </c>
    </row>
    <row r="207" spans="1:17" ht="14.4" customHeight="1" x14ac:dyDescent="0.3">
      <c r="A207" s="696" t="s">
        <v>4251</v>
      </c>
      <c r="B207" s="697" t="s">
        <v>4252</v>
      </c>
      <c r="C207" s="697" t="s">
        <v>2708</v>
      </c>
      <c r="D207" s="697" t="s">
        <v>4476</v>
      </c>
      <c r="E207" s="697" t="s">
        <v>4477</v>
      </c>
      <c r="F207" s="701">
        <v>7</v>
      </c>
      <c r="G207" s="701">
        <v>4053</v>
      </c>
      <c r="H207" s="701">
        <v>1.75</v>
      </c>
      <c r="I207" s="701">
        <v>579</v>
      </c>
      <c r="J207" s="701">
        <v>4</v>
      </c>
      <c r="K207" s="701">
        <v>2316</v>
      </c>
      <c r="L207" s="701">
        <v>1</v>
      </c>
      <c r="M207" s="701">
        <v>579</v>
      </c>
      <c r="N207" s="701"/>
      <c r="O207" s="701"/>
      <c r="P207" s="723"/>
      <c r="Q207" s="702"/>
    </row>
    <row r="208" spans="1:17" ht="14.4" customHeight="1" x14ac:dyDescent="0.3">
      <c r="A208" s="696" t="s">
        <v>4251</v>
      </c>
      <c r="B208" s="697" t="s">
        <v>4252</v>
      </c>
      <c r="C208" s="697" t="s">
        <v>2708</v>
      </c>
      <c r="D208" s="697" t="s">
        <v>4476</v>
      </c>
      <c r="E208" s="697" t="s">
        <v>4478</v>
      </c>
      <c r="F208" s="701">
        <v>4</v>
      </c>
      <c r="G208" s="701">
        <v>2316</v>
      </c>
      <c r="H208" s="701"/>
      <c r="I208" s="701">
        <v>579</v>
      </c>
      <c r="J208" s="701"/>
      <c r="K208" s="701"/>
      <c r="L208" s="701"/>
      <c r="M208" s="701"/>
      <c r="N208" s="701"/>
      <c r="O208" s="701"/>
      <c r="P208" s="723"/>
      <c r="Q208" s="702"/>
    </row>
    <row r="209" spans="1:17" ht="14.4" customHeight="1" x14ac:dyDescent="0.3">
      <c r="A209" s="696" t="s">
        <v>4251</v>
      </c>
      <c r="B209" s="697" t="s">
        <v>4252</v>
      </c>
      <c r="C209" s="697" t="s">
        <v>2708</v>
      </c>
      <c r="D209" s="697" t="s">
        <v>4479</v>
      </c>
      <c r="E209" s="697" t="s">
        <v>4480</v>
      </c>
      <c r="F209" s="701">
        <v>3</v>
      </c>
      <c r="G209" s="701">
        <v>3033</v>
      </c>
      <c r="H209" s="701"/>
      <c r="I209" s="701">
        <v>1011</v>
      </c>
      <c r="J209" s="701"/>
      <c r="K209" s="701"/>
      <c r="L209" s="701"/>
      <c r="M209" s="701"/>
      <c r="N209" s="701"/>
      <c r="O209" s="701"/>
      <c r="P209" s="723"/>
      <c r="Q209" s="702"/>
    </row>
    <row r="210" spans="1:17" ht="14.4" customHeight="1" x14ac:dyDescent="0.3">
      <c r="A210" s="696" t="s">
        <v>4251</v>
      </c>
      <c r="B210" s="697" t="s">
        <v>4252</v>
      </c>
      <c r="C210" s="697" t="s">
        <v>2708</v>
      </c>
      <c r="D210" s="697" t="s">
        <v>4481</v>
      </c>
      <c r="E210" s="697" t="s">
        <v>4482</v>
      </c>
      <c r="F210" s="701">
        <v>1</v>
      </c>
      <c r="G210" s="701">
        <v>192</v>
      </c>
      <c r="H210" s="701">
        <v>0.125</v>
      </c>
      <c r="I210" s="701">
        <v>192</v>
      </c>
      <c r="J210" s="701">
        <v>8</v>
      </c>
      <c r="K210" s="701">
        <v>1536</v>
      </c>
      <c r="L210" s="701">
        <v>1</v>
      </c>
      <c r="M210" s="701">
        <v>192</v>
      </c>
      <c r="N210" s="701"/>
      <c r="O210" s="701"/>
      <c r="P210" s="723"/>
      <c r="Q210" s="702"/>
    </row>
    <row r="211" spans="1:17" ht="14.4" customHeight="1" x14ac:dyDescent="0.3">
      <c r="A211" s="696" t="s">
        <v>4251</v>
      </c>
      <c r="B211" s="697" t="s">
        <v>4252</v>
      </c>
      <c r="C211" s="697" t="s">
        <v>2708</v>
      </c>
      <c r="D211" s="697" t="s">
        <v>4483</v>
      </c>
      <c r="E211" s="697" t="s">
        <v>4484</v>
      </c>
      <c r="F211" s="701">
        <v>2</v>
      </c>
      <c r="G211" s="701">
        <v>410</v>
      </c>
      <c r="H211" s="701"/>
      <c r="I211" s="701">
        <v>205</v>
      </c>
      <c r="J211" s="701"/>
      <c r="K211" s="701"/>
      <c r="L211" s="701"/>
      <c r="M211" s="701"/>
      <c r="N211" s="701"/>
      <c r="O211" s="701"/>
      <c r="P211" s="723"/>
      <c r="Q211" s="702"/>
    </row>
    <row r="212" spans="1:17" ht="14.4" customHeight="1" x14ac:dyDescent="0.3">
      <c r="A212" s="696" t="s">
        <v>4251</v>
      </c>
      <c r="B212" s="697" t="s">
        <v>4252</v>
      </c>
      <c r="C212" s="697" t="s">
        <v>2708</v>
      </c>
      <c r="D212" s="697" t="s">
        <v>4485</v>
      </c>
      <c r="E212" s="697" t="s">
        <v>4486</v>
      </c>
      <c r="F212" s="701">
        <v>5</v>
      </c>
      <c r="G212" s="701">
        <v>840</v>
      </c>
      <c r="H212" s="701">
        <v>5</v>
      </c>
      <c r="I212" s="701">
        <v>168</v>
      </c>
      <c r="J212" s="701">
        <v>1</v>
      </c>
      <c r="K212" s="701">
        <v>168</v>
      </c>
      <c r="L212" s="701">
        <v>1</v>
      </c>
      <c r="M212" s="701">
        <v>168</v>
      </c>
      <c r="N212" s="701"/>
      <c r="O212" s="701"/>
      <c r="P212" s="723"/>
      <c r="Q212" s="702"/>
    </row>
    <row r="213" spans="1:17" ht="14.4" customHeight="1" x14ac:dyDescent="0.3">
      <c r="A213" s="696" t="s">
        <v>4251</v>
      </c>
      <c r="B213" s="697" t="s">
        <v>4252</v>
      </c>
      <c r="C213" s="697" t="s">
        <v>2708</v>
      </c>
      <c r="D213" s="697" t="s">
        <v>4485</v>
      </c>
      <c r="E213" s="697" t="s">
        <v>4487</v>
      </c>
      <c r="F213" s="701">
        <v>3</v>
      </c>
      <c r="G213" s="701">
        <v>504</v>
      </c>
      <c r="H213" s="701">
        <v>3</v>
      </c>
      <c r="I213" s="701">
        <v>168</v>
      </c>
      <c r="J213" s="701">
        <v>1</v>
      </c>
      <c r="K213" s="701">
        <v>168</v>
      </c>
      <c r="L213" s="701">
        <v>1</v>
      </c>
      <c r="M213" s="701">
        <v>168</v>
      </c>
      <c r="N213" s="701">
        <v>4</v>
      </c>
      <c r="O213" s="701">
        <v>671</v>
      </c>
      <c r="P213" s="723">
        <v>3.9940476190476191</v>
      </c>
      <c r="Q213" s="702">
        <v>167.75</v>
      </c>
    </row>
    <row r="214" spans="1:17" ht="14.4" customHeight="1" x14ac:dyDescent="0.3">
      <c r="A214" s="696" t="s">
        <v>4251</v>
      </c>
      <c r="B214" s="697" t="s">
        <v>4252</v>
      </c>
      <c r="C214" s="697" t="s">
        <v>2708</v>
      </c>
      <c r="D214" s="697" t="s">
        <v>4488</v>
      </c>
      <c r="E214" s="697" t="s">
        <v>4489</v>
      </c>
      <c r="F214" s="701">
        <v>1</v>
      </c>
      <c r="G214" s="701">
        <v>265</v>
      </c>
      <c r="H214" s="701"/>
      <c r="I214" s="701">
        <v>265</v>
      </c>
      <c r="J214" s="701"/>
      <c r="K214" s="701"/>
      <c r="L214" s="701"/>
      <c r="M214" s="701"/>
      <c r="N214" s="701"/>
      <c r="O214" s="701"/>
      <c r="P214" s="723"/>
      <c r="Q214" s="702"/>
    </row>
    <row r="215" spans="1:17" ht="14.4" customHeight="1" x14ac:dyDescent="0.3">
      <c r="A215" s="696" t="s">
        <v>4251</v>
      </c>
      <c r="B215" s="697" t="s">
        <v>4252</v>
      </c>
      <c r="C215" s="697" t="s">
        <v>2708</v>
      </c>
      <c r="D215" s="697" t="s">
        <v>4490</v>
      </c>
      <c r="E215" s="697" t="s">
        <v>4491</v>
      </c>
      <c r="F215" s="701"/>
      <c r="G215" s="701"/>
      <c r="H215" s="701"/>
      <c r="I215" s="701"/>
      <c r="J215" s="701">
        <v>2</v>
      </c>
      <c r="K215" s="701">
        <v>254</v>
      </c>
      <c r="L215" s="701">
        <v>1</v>
      </c>
      <c r="M215" s="701">
        <v>127</v>
      </c>
      <c r="N215" s="701"/>
      <c r="O215" s="701"/>
      <c r="P215" s="723"/>
      <c r="Q215" s="702"/>
    </row>
    <row r="216" spans="1:17" ht="14.4" customHeight="1" x14ac:dyDescent="0.3">
      <c r="A216" s="696" t="s">
        <v>4251</v>
      </c>
      <c r="B216" s="697" t="s">
        <v>4252</v>
      </c>
      <c r="C216" s="697" t="s">
        <v>2708</v>
      </c>
      <c r="D216" s="697" t="s">
        <v>4490</v>
      </c>
      <c r="E216" s="697" t="s">
        <v>4492</v>
      </c>
      <c r="F216" s="701">
        <v>2</v>
      </c>
      <c r="G216" s="701">
        <v>254</v>
      </c>
      <c r="H216" s="701"/>
      <c r="I216" s="701">
        <v>127</v>
      </c>
      <c r="J216" s="701"/>
      <c r="K216" s="701"/>
      <c r="L216" s="701"/>
      <c r="M216" s="701"/>
      <c r="N216" s="701">
        <v>2</v>
      </c>
      <c r="O216" s="701">
        <v>254</v>
      </c>
      <c r="P216" s="723"/>
      <c r="Q216" s="702">
        <v>127</v>
      </c>
    </row>
    <row r="217" spans="1:17" ht="14.4" customHeight="1" x14ac:dyDescent="0.3">
      <c r="A217" s="696" t="s">
        <v>4251</v>
      </c>
      <c r="B217" s="697" t="s">
        <v>4252</v>
      </c>
      <c r="C217" s="697" t="s">
        <v>2708</v>
      </c>
      <c r="D217" s="697" t="s">
        <v>4493</v>
      </c>
      <c r="E217" s="697" t="s">
        <v>4494</v>
      </c>
      <c r="F217" s="701"/>
      <c r="G217" s="701"/>
      <c r="H217" s="701"/>
      <c r="I217" s="701"/>
      <c r="J217" s="701">
        <v>1</v>
      </c>
      <c r="K217" s="701">
        <v>265</v>
      </c>
      <c r="L217" s="701">
        <v>1</v>
      </c>
      <c r="M217" s="701">
        <v>265</v>
      </c>
      <c r="N217" s="701"/>
      <c r="O217" s="701"/>
      <c r="P217" s="723"/>
      <c r="Q217" s="702"/>
    </row>
    <row r="218" spans="1:17" ht="14.4" customHeight="1" x14ac:dyDescent="0.3">
      <c r="A218" s="696" t="s">
        <v>4251</v>
      </c>
      <c r="B218" s="697" t="s">
        <v>4252</v>
      </c>
      <c r="C218" s="697" t="s">
        <v>2708</v>
      </c>
      <c r="D218" s="697" t="s">
        <v>4495</v>
      </c>
      <c r="E218" s="697" t="s">
        <v>4496</v>
      </c>
      <c r="F218" s="701"/>
      <c r="G218" s="701"/>
      <c r="H218" s="701"/>
      <c r="I218" s="701"/>
      <c r="J218" s="701"/>
      <c r="K218" s="701"/>
      <c r="L218" s="701"/>
      <c r="M218" s="701"/>
      <c r="N218" s="701">
        <v>2</v>
      </c>
      <c r="O218" s="701">
        <v>620</v>
      </c>
      <c r="P218" s="723"/>
      <c r="Q218" s="702">
        <v>310</v>
      </c>
    </row>
    <row r="219" spans="1:17" ht="14.4" customHeight="1" x14ac:dyDescent="0.3">
      <c r="A219" s="696" t="s">
        <v>4251</v>
      </c>
      <c r="B219" s="697" t="s">
        <v>4252</v>
      </c>
      <c r="C219" s="697" t="s">
        <v>2708</v>
      </c>
      <c r="D219" s="697" t="s">
        <v>4497</v>
      </c>
      <c r="E219" s="697" t="s">
        <v>4498</v>
      </c>
      <c r="F219" s="701">
        <v>2</v>
      </c>
      <c r="G219" s="701">
        <v>46</v>
      </c>
      <c r="H219" s="701">
        <v>0.5</v>
      </c>
      <c r="I219" s="701">
        <v>23</v>
      </c>
      <c r="J219" s="701">
        <v>4</v>
      </c>
      <c r="K219" s="701">
        <v>92</v>
      </c>
      <c r="L219" s="701">
        <v>1</v>
      </c>
      <c r="M219" s="701">
        <v>23</v>
      </c>
      <c r="N219" s="701">
        <v>1</v>
      </c>
      <c r="O219" s="701">
        <v>23</v>
      </c>
      <c r="P219" s="723">
        <v>0.25</v>
      </c>
      <c r="Q219" s="702">
        <v>23</v>
      </c>
    </row>
    <row r="220" spans="1:17" ht="14.4" customHeight="1" x14ac:dyDescent="0.3">
      <c r="A220" s="696" t="s">
        <v>4251</v>
      </c>
      <c r="B220" s="697" t="s">
        <v>4252</v>
      </c>
      <c r="C220" s="697" t="s">
        <v>2708</v>
      </c>
      <c r="D220" s="697" t="s">
        <v>4497</v>
      </c>
      <c r="E220" s="697" t="s">
        <v>4499</v>
      </c>
      <c r="F220" s="701">
        <v>5</v>
      </c>
      <c r="G220" s="701">
        <v>115</v>
      </c>
      <c r="H220" s="701">
        <v>2.5</v>
      </c>
      <c r="I220" s="701">
        <v>23</v>
      </c>
      <c r="J220" s="701">
        <v>2</v>
      </c>
      <c r="K220" s="701">
        <v>46</v>
      </c>
      <c r="L220" s="701">
        <v>1</v>
      </c>
      <c r="M220" s="701">
        <v>23</v>
      </c>
      <c r="N220" s="701">
        <v>4</v>
      </c>
      <c r="O220" s="701">
        <v>92</v>
      </c>
      <c r="P220" s="723">
        <v>2</v>
      </c>
      <c r="Q220" s="702">
        <v>23</v>
      </c>
    </row>
    <row r="221" spans="1:17" ht="14.4" customHeight="1" x14ac:dyDescent="0.3">
      <c r="A221" s="696" t="s">
        <v>4251</v>
      </c>
      <c r="B221" s="697" t="s">
        <v>4252</v>
      </c>
      <c r="C221" s="697" t="s">
        <v>2708</v>
      </c>
      <c r="D221" s="697" t="s">
        <v>4500</v>
      </c>
      <c r="E221" s="697" t="s">
        <v>4501</v>
      </c>
      <c r="F221" s="701"/>
      <c r="G221" s="701"/>
      <c r="H221" s="701"/>
      <c r="I221" s="701"/>
      <c r="J221" s="701"/>
      <c r="K221" s="701"/>
      <c r="L221" s="701"/>
      <c r="M221" s="701"/>
      <c r="N221" s="701">
        <v>1</v>
      </c>
      <c r="O221" s="701">
        <v>17</v>
      </c>
      <c r="P221" s="723"/>
      <c r="Q221" s="702">
        <v>17</v>
      </c>
    </row>
    <row r="222" spans="1:17" ht="14.4" customHeight="1" x14ac:dyDescent="0.3">
      <c r="A222" s="696" t="s">
        <v>4251</v>
      </c>
      <c r="B222" s="697" t="s">
        <v>4252</v>
      </c>
      <c r="C222" s="697" t="s">
        <v>2708</v>
      </c>
      <c r="D222" s="697" t="s">
        <v>4500</v>
      </c>
      <c r="E222" s="697" t="s">
        <v>4502</v>
      </c>
      <c r="F222" s="701">
        <v>3</v>
      </c>
      <c r="G222" s="701">
        <v>51</v>
      </c>
      <c r="H222" s="701">
        <v>3</v>
      </c>
      <c r="I222" s="701">
        <v>17</v>
      </c>
      <c r="J222" s="701">
        <v>1</v>
      </c>
      <c r="K222" s="701">
        <v>17</v>
      </c>
      <c r="L222" s="701">
        <v>1</v>
      </c>
      <c r="M222" s="701">
        <v>17</v>
      </c>
      <c r="N222" s="701">
        <v>4</v>
      </c>
      <c r="O222" s="701">
        <v>68</v>
      </c>
      <c r="P222" s="723">
        <v>4</v>
      </c>
      <c r="Q222" s="702">
        <v>17</v>
      </c>
    </row>
    <row r="223" spans="1:17" ht="14.4" customHeight="1" x14ac:dyDescent="0.3">
      <c r="A223" s="696" t="s">
        <v>4251</v>
      </c>
      <c r="B223" s="697" t="s">
        <v>4252</v>
      </c>
      <c r="C223" s="697" t="s">
        <v>2708</v>
      </c>
      <c r="D223" s="697" t="s">
        <v>4503</v>
      </c>
      <c r="E223" s="697" t="s">
        <v>4504</v>
      </c>
      <c r="F223" s="701">
        <v>1</v>
      </c>
      <c r="G223" s="701">
        <v>133</v>
      </c>
      <c r="H223" s="701"/>
      <c r="I223" s="701">
        <v>133</v>
      </c>
      <c r="J223" s="701"/>
      <c r="K223" s="701"/>
      <c r="L223" s="701"/>
      <c r="M223" s="701"/>
      <c r="N223" s="701"/>
      <c r="O223" s="701"/>
      <c r="P223" s="723"/>
      <c r="Q223" s="702"/>
    </row>
    <row r="224" spans="1:17" ht="14.4" customHeight="1" x14ac:dyDescent="0.3">
      <c r="A224" s="696" t="s">
        <v>4251</v>
      </c>
      <c r="B224" s="697" t="s">
        <v>4252</v>
      </c>
      <c r="C224" s="697" t="s">
        <v>2708</v>
      </c>
      <c r="D224" s="697" t="s">
        <v>4503</v>
      </c>
      <c r="E224" s="697" t="s">
        <v>4505</v>
      </c>
      <c r="F224" s="701">
        <v>1</v>
      </c>
      <c r="G224" s="701">
        <v>133</v>
      </c>
      <c r="H224" s="701">
        <v>1</v>
      </c>
      <c r="I224" s="701">
        <v>133</v>
      </c>
      <c r="J224" s="701">
        <v>1</v>
      </c>
      <c r="K224" s="701">
        <v>133</v>
      </c>
      <c r="L224" s="701">
        <v>1</v>
      </c>
      <c r="M224" s="701">
        <v>133</v>
      </c>
      <c r="N224" s="701"/>
      <c r="O224" s="701"/>
      <c r="P224" s="723"/>
      <c r="Q224" s="702"/>
    </row>
    <row r="225" spans="1:17" ht="14.4" customHeight="1" x14ac:dyDescent="0.3">
      <c r="A225" s="696" t="s">
        <v>4251</v>
      </c>
      <c r="B225" s="697" t="s">
        <v>4252</v>
      </c>
      <c r="C225" s="697" t="s">
        <v>2708</v>
      </c>
      <c r="D225" s="697" t="s">
        <v>4506</v>
      </c>
      <c r="E225" s="697" t="s">
        <v>4507</v>
      </c>
      <c r="F225" s="701">
        <v>183</v>
      </c>
      <c r="G225" s="701">
        <v>53802</v>
      </c>
      <c r="H225" s="701">
        <v>1.1158536585365855</v>
      </c>
      <c r="I225" s="701">
        <v>294</v>
      </c>
      <c r="J225" s="701">
        <v>164</v>
      </c>
      <c r="K225" s="701">
        <v>48216</v>
      </c>
      <c r="L225" s="701">
        <v>1</v>
      </c>
      <c r="M225" s="701">
        <v>294</v>
      </c>
      <c r="N225" s="701">
        <v>94</v>
      </c>
      <c r="O225" s="701">
        <v>27730</v>
      </c>
      <c r="P225" s="723">
        <v>0.57512029201924675</v>
      </c>
      <c r="Q225" s="702">
        <v>295</v>
      </c>
    </row>
    <row r="226" spans="1:17" ht="14.4" customHeight="1" x14ac:dyDescent="0.3">
      <c r="A226" s="696" t="s">
        <v>4251</v>
      </c>
      <c r="B226" s="697" t="s">
        <v>4252</v>
      </c>
      <c r="C226" s="697" t="s">
        <v>2708</v>
      </c>
      <c r="D226" s="697" t="s">
        <v>4506</v>
      </c>
      <c r="E226" s="697" t="s">
        <v>4508</v>
      </c>
      <c r="F226" s="701">
        <v>15</v>
      </c>
      <c r="G226" s="701">
        <v>4410</v>
      </c>
      <c r="H226" s="701">
        <v>15</v>
      </c>
      <c r="I226" s="701">
        <v>294</v>
      </c>
      <c r="J226" s="701">
        <v>1</v>
      </c>
      <c r="K226" s="701">
        <v>294</v>
      </c>
      <c r="L226" s="701">
        <v>1</v>
      </c>
      <c r="M226" s="701">
        <v>294</v>
      </c>
      <c r="N226" s="701">
        <v>2</v>
      </c>
      <c r="O226" s="701">
        <v>590</v>
      </c>
      <c r="P226" s="723">
        <v>2.0068027210884352</v>
      </c>
      <c r="Q226" s="702">
        <v>295</v>
      </c>
    </row>
    <row r="227" spans="1:17" ht="14.4" customHeight="1" x14ac:dyDescent="0.3">
      <c r="A227" s="696" t="s">
        <v>4251</v>
      </c>
      <c r="B227" s="697" t="s">
        <v>4252</v>
      </c>
      <c r="C227" s="697" t="s">
        <v>2708</v>
      </c>
      <c r="D227" s="697" t="s">
        <v>4509</v>
      </c>
      <c r="E227" s="697" t="s">
        <v>4510</v>
      </c>
      <c r="F227" s="701">
        <v>4</v>
      </c>
      <c r="G227" s="701">
        <v>180</v>
      </c>
      <c r="H227" s="701"/>
      <c r="I227" s="701">
        <v>45</v>
      </c>
      <c r="J227" s="701"/>
      <c r="K227" s="701"/>
      <c r="L227" s="701"/>
      <c r="M227" s="701"/>
      <c r="N227" s="701">
        <v>1</v>
      </c>
      <c r="O227" s="701">
        <v>45</v>
      </c>
      <c r="P227" s="723"/>
      <c r="Q227" s="702">
        <v>45</v>
      </c>
    </row>
    <row r="228" spans="1:17" ht="14.4" customHeight="1" x14ac:dyDescent="0.3">
      <c r="A228" s="696" t="s">
        <v>4251</v>
      </c>
      <c r="B228" s="697" t="s">
        <v>4252</v>
      </c>
      <c r="C228" s="697" t="s">
        <v>2708</v>
      </c>
      <c r="D228" s="697" t="s">
        <v>4509</v>
      </c>
      <c r="E228" s="697" t="s">
        <v>4511</v>
      </c>
      <c r="F228" s="701">
        <v>2</v>
      </c>
      <c r="G228" s="701">
        <v>90</v>
      </c>
      <c r="H228" s="701">
        <v>1</v>
      </c>
      <c r="I228" s="701">
        <v>45</v>
      </c>
      <c r="J228" s="701">
        <v>2</v>
      </c>
      <c r="K228" s="701">
        <v>90</v>
      </c>
      <c r="L228" s="701">
        <v>1</v>
      </c>
      <c r="M228" s="701">
        <v>45</v>
      </c>
      <c r="N228" s="701">
        <v>1</v>
      </c>
      <c r="O228" s="701">
        <v>45</v>
      </c>
      <c r="P228" s="723">
        <v>0.5</v>
      </c>
      <c r="Q228" s="702">
        <v>45</v>
      </c>
    </row>
    <row r="229" spans="1:17" ht="14.4" customHeight="1" x14ac:dyDescent="0.3">
      <c r="A229" s="696" t="s">
        <v>4251</v>
      </c>
      <c r="B229" s="697" t="s">
        <v>4252</v>
      </c>
      <c r="C229" s="697" t="s">
        <v>2708</v>
      </c>
      <c r="D229" s="697" t="s">
        <v>4512</v>
      </c>
      <c r="E229" s="697" t="s">
        <v>4513</v>
      </c>
      <c r="F229" s="701">
        <v>4</v>
      </c>
      <c r="G229" s="701">
        <v>184</v>
      </c>
      <c r="H229" s="701"/>
      <c r="I229" s="701">
        <v>46</v>
      </c>
      <c r="J229" s="701"/>
      <c r="K229" s="701"/>
      <c r="L229" s="701"/>
      <c r="M229" s="701"/>
      <c r="N229" s="701">
        <v>6</v>
      </c>
      <c r="O229" s="701">
        <v>276</v>
      </c>
      <c r="P229" s="723"/>
      <c r="Q229" s="702">
        <v>46</v>
      </c>
    </row>
    <row r="230" spans="1:17" ht="14.4" customHeight="1" x14ac:dyDescent="0.3">
      <c r="A230" s="696" t="s">
        <v>4251</v>
      </c>
      <c r="B230" s="697" t="s">
        <v>4252</v>
      </c>
      <c r="C230" s="697" t="s">
        <v>2708</v>
      </c>
      <c r="D230" s="697" t="s">
        <v>4512</v>
      </c>
      <c r="E230" s="697" t="s">
        <v>4514</v>
      </c>
      <c r="F230" s="701">
        <v>2</v>
      </c>
      <c r="G230" s="701">
        <v>92</v>
      </c>
      <c r="H230" s="701">
        <v>0.33333333333333331</v>
      </c>
      <c r="I230" s="701">
        <v>46</v>
      </c>
      <c r="J230" s="701">
        <v>6</v>
      </c>
      <c r="K230" s="701">
        <v>276</v>
      </c>
      <c r="L230" s="701">
        <v>1</v>
      </c>
      <c r="M230" s="701">
        <v>46</v>
      </c>
      <c r="N230" s="701">
        <v>1</v>
      </c>
      <c r="O230" s="701">
        <v>46</v>
      </c>
      <c r="P230" s="723">
        <v>0.16666666666666666</v>
      </c>
      <c r="Q230" s="702">
        <v>46</v>
      </c>
    </row>
    <row r="231" spans="1:17" ht="14.4" customHeight="1" x14ac:dyDescent="0.3">
      <c r="A231" s="696" t="s">
        <v>4251</v>
      </c>
      <c r="B231" s="697" t="s">
        <v>4252</v>
      </c>
      <c r="C231" s="697" t="s">
        <v>2708</v>
      </c>
      <c r="D231" s="697" t="s">
        <v>4515</v>
      </c>
      <c r="E231" s="697" t="s">
        <v>4516</v>
      </c>
      <c r="F231" s="701">
        <v>1</v>
      </c>
      <c r="G231" s="701">
        <v>310</v>
      </c>
      <c r="H231" s="701"/>
      <c r="I231" s="701">
        <v>310</v>
      </c>
      <c r="J231" s="701"/>
      <c r="K231" s="701"/>
      <c r="L231" s="701"/>
      <c r="M231" s="701"/>
      <c r="N231" s="701"/>
      <c r="O231" s="701"/>
      <c r="P231" s="723"/>
      <c r="Q231" s="702"/>
    </row>
    <row r="232" spans="1:17" ht="14.4" customHeight="1" x14ac:dyDescent="0.3">
      <c r="A232" s="696" t="s">
        <v>4251</v>
      </c>
      <c r="B232" s="697" t="s">
        <v>4252</v>
      </c>
      <c r="C232" s="697" t="s">
        <v>2708</v>
      </c>
      <c r="D232" s="697" t="s">
        <v>4517</v>
      </c>
      <c r="E232" s="697" t="s">
        <v>4518</v>
      </c>
      <c r="F232" s="701"/>
      <c r="G232" s="701"/>
      <c r="H232" s="701"/>
      <c r="I232" s="701"/>
      <c r="J232" s="701">
        <v>3</v>
      </c>
      <c r="K232" s="701">
        <v>1584</v>
      </c>
      <c r="L232" s="701">
        <v>1</v>
      </c>
      <c r="M232" s="701">
        <v>528</v>
      </c>
      <c r="N232" s="701"/>
      <c r="O232" s="701"/>
      <c r="P232" s="723"/>
      <c r="Q232" s="702"/>
    </row>
    <row r="233" spans="1:17" ht="14.4" customHeight="1" x14ac:dyDescent="0.3">
      <c r="A233" s="696" t="s">
        <v>4251</v>
      </c>
      <c r="B233" s="697" t="s">
        <v>4252</v>
      </c>
      <c r="C233" s="697" t="s">
        <v>2708</v>
      </c>
      <c r="D233" s="697" t="s">
        <v>4519</v>
      </c>
      <c r="E233" s="697" t="s">
        <v>4520</v>
      </c>
      <c r="F233" s="701">
        <v>5</v>
      </c>
      <c r="G233" s="701">
        <v>155</v>
      </c>
      <c r="H233" s="701">
        <v>5</v>
      </c>
      <c r="I233" s="701">
        <v>31</v>
      </c>
      <c r="J233" s="701">
        <v>1</v>
      </c>
      <c r="K233" s="701">
        <v>31</v>
      </c>
      <c r="L233" s="701">
        <v>1</v>
      </c>
      <c r="M233" s="701">
        <v>31</v>
      </c>
      <c r="N233" s="701">
        <v>2</v>
      </c>
      <c r="O233" s="701">
        <v>62</v>
      </c>
      <c r="P233" s="723">
        <v>2</v>
      </c>
      <c r="Q233" s="702">
        <v>31</v>
      </c>
    </row>
    <row r="234" spans="1:17" ht="14.4" customHeight="1" x14ac:dyDescent="0.3">
      <c r="A234" s="696" t="s">
        <v>4251</v>
      </c>
      <c r="B234" s="697" t="s">
        <v>4252</v>
      </c>
      <c r="C234" s="697" t="s">
        <v>2708</v>
      </c>
      <c r="D234" s="697" t="s">
        <v>4521</v>
      </c>
      <c r="E234" s="697" t="s">
        <v>4522</v>
      </c>
      <c r="F234" s="701">
        <v>1</v>
      </c>
      <c r="G234" s="701">
        <v>26</v>
      </c>
      <c r="H234" s="701">
        <v>0.5</v>
      </c>
      <c r="I234" s="701">
        <v>26</v>
      </c>
      <c r="J234" s="701">
        <v>2</v>
      </c>
      <c r="K234" s="701">
        <v>52</v>
      </c>
      <c r="L234" s="701">
        <v>1</v>
      </c>
      <c r="M234" s="701">
        <v>26</v>
      </c>
      <c r="N234" s="701">
        <v>3</v>
      </c>
      <c r="O234" s="701">
        <v>78</v>
      </c>
      <c r="P234" s="723">
        <v>1.5</v>
      </c>
      <c r="Q234" s="702">
        <v>26</v>
      </c>
    </row>
    <row r="235" spans="1:17" ht="14.4" customHeight="1" x14ac:dyDescent="0.3">
      <c r="A235" s="696" t="s">
        <v>4251</v>
      </c>
      <c r="B235" s="697" t="s">
        <v>4252</v>
      </c>
      <c r="C235" s="697" t="s">
        <v>2708</v>
      </c>
      <c r="D235" s="697" t="s">
        <v>4521</v>
      </c>
      <c r="E235" s="697" t="s">
        <v>4523</v>
      </c>
      <c r="F235" s="701"/>
      <c r="G235" s="701"/>
      <c r="H235" s="701"/>
      <c r="I235" s="701"/>
      <c r="J235" s="701">
        <v>3</v>
      </c>
      <c r="K235" s="701">
        <v>78</v>
      </c>
      <c r="L235" s="701">
        <v>1</v>
      </c>
      <c r="M235" s="701">
        <v>26</v>
      </c>
      <c r="N235" s="701"/>
      <c r="O235" s="701"/>
      <c r="P235" s="723"/>
      <c r="Q235" s="702"/>
    </row>
    <row r="236" spans="1:17" ht="14.4" customHeight="1" x14ac:dyDescent="0.3">
      <c r="A236" s="696" t="s">
        <v>4251</v>
      </c>
      <c r="B236" s="697" t="s">
        <v>4252</v>
      </c>
      <c r="C236" s="697" t="s">
        <v>2708</v>
      </c>
      <c r="D236" s="697" t="s">
        <v>4524</v>
      </c>
      <c r="E236" s="697" t="s">
        <v>4525</v>
      </c>
      <c r="F236" s="701">
        <v>1</v>
      </c>
      <c r="G236" s="701">
        <v>355</v>
      </c>
      <c r="H236" s="701"/>
      <c r="I236" s="701">
        <v>355</v>
      </c>
      <c r="J236" s="701"/>
      <c r="K236" s="701"/>
      <c r="L236" s="701"/>
      <c r="M236" s="701"/>
      <c r="N236" s="701"/>
      <c r="O236" s="701"/>
      <c r="P236" s="723"/>
      <c r="Q236" s="702"/>
    </row>
    <row r="237" spans="1:17" ht="14.4" customHeight="1" x14ac:dyDescent="0.3">
      <c r="A237" s="696" t="s">
        <v>4251</v>
      </c>
      <c r="B237" s="697" t="s">
        <v>4252</v>
      </c>
      <c r="C237" s="697" t="s">
        <v>2708</v>
      </c>
      <c r="D237" s="697" t="s">
        <v>4526</v>
      </c>
      <c r="E237" s="697" t="s">
        <v>4527</v>
      </c>
      <c r="F237" s="701"/>
      <c r="G237" s="701"/>
      <c r="H237" s="701"/>
      <c r="I237" s="701"/>
      <c r="J237" s="701">
        <v>1</v>
      </c>
      <c r="K237" s="701">
        <v>407</v>
      </c>
      <c r="L237" s="701">
        <v>1</v>
      </c>
      <c r="M237" s="701">
        <v>407</v>
      </c>
      <c r="N237" s="701"/>
      <c r="O237" s="701"/>
      <c r="P237" s="723"/>
      <c r="Q237" s="702"/>
    </row>
    <row r="238" spans="1:17" ht="14.4" customHeight="1" x14ac:dyDescent="0.3">
      <c r="A238" s="696" t="s">
        <v>4251</v>
      </c>
      <c r="B238" s="697" t="s">
        <v>4252</v>
      </c>
      <c r="C238" s="697" t="s">
        <v>2708</v>
      </c>
      <c r="D238" s="697" t="s">
        <v>4526</v>
      </c>
      <c r="E238" s="697" t="s">
        <v>4528</v>
      </c>
      <c r="F238" s="701"/>
      <c r="G238" s="701"/>
      <c r="H238" s="701"/>
      <c r="I238" s="701"/>
      <c r="J238" s="701">
        <v>1</v>
      </c>
      <c r="K238" s="701">
        <v>407</v>
      </c>
      <c r="L238" s="701">
        <v>1</v>
      </c>
      <c r="M238" s="701">
        <v>407</v>
      </c>
      <c r="N238" s="701"/>
      <c r="O238" s="701"/>
      <c r="P238" s="723"/>
      <c r="Q238" s="702"/>
    </row>
    <row r="239" spans="1:17" ht="14.4" customHeight="1" x14ac:dyDescent="0.3">
      <c r="A239" s="696" t="s">
        <v>4251</v>
      </c>
      <c r="B239" s="697" t="s">
        <v>4252</v>
      </c>
      <c r="C239" s="697" t="s">
        <v>2708</v>
      </c>
      <c r="D239" s="697" t="s">
        <v>4529</v>
      </c>
      <c r="E239" s="697" t="s">
        <v>4530</v>
      </c>
      <c r="F239" s="701"/>
      <c r="G239" s="701"/>
      <c r="H239" s="701"/>
      <c r="I239" s="701"/>
      <c r="J239" s="701">
        <v>2</v>
      </c>
      <c r="K239" s="701">
        <v>380</v>
      </c>
      <c r="L239" s="701">
        <v>1</v>
      </c>
      <c r="M239" s="701">
        <v>190</v>
      </c>
      <c r="N239" s="701"/>
      <c r="O239" s="701"/>
      <c r="P239" s="723"/>
      <c r="Q239" s="702"/>
    </row>
    <row r="240" spans="1:17" ht="14.4" customHeight="1" x14ac:dyDescent="0.3">
      <c r="A240" s="696" t="s">
        <v>4251</v>
      </c>
      <c r="B240" s="697" t="s">
        <v>4252</v>
      </c>
      <c r="C240" s="697" t="s">
        <v>2708</v>
      </c>
      <c r="D240" s="697" t="s">
        <v>4531</v>
      </c>
      <c r="E240" s="697" t="s">
        <v>4532</v>
      </c>
      <c r="F240" s="701">
        <v>9</v>
      </c>
      <c r="G240" s="701">
        <v>2466</v>
      </c>
      <c r="H240" s="701">
        <v>1.8</v>
      </c>
      <c r="I240" s="701">
        <v>274</v>
      </c>
      <c r="J240" s="701">
        <v>5</v>
      </c>
      <c r="K240" s="701">
        <v>1370</v>
      </c>
      <c r="L240" s="701">
        <v>1</v>
      </c>
      <c r="M240" s="701">
        <v>274</v>
      </c>
      <c r="N240" s="701">
        <v>3</v>
      </c>
      <c r="O240" s="701">
        <v>820</v>
      </c>
      <c r="P240" s="723">
        <v>0.59854014598540151</v>
      </c>
      <c r="Q240" s="702">
        <v>273.33333333333331</v>
      </c>
    </row>
    <row r="241" spans="1:17" ht="14.4" customHeight="1" x14ac:dyDescent="0.3">
      <c r="A241" s="696" t="s">
        <v>4251</v>
      </c>
      <c r="B241" s="697" t="s">
        <v>4252</v>
      </c>
      <c r="C241" s="697" t="s">
        <v>2708</v>
      </c>
      <c r="D241" s="697" t="s">
        <v>4531</v>
      </c>
      <c r="E241" s="697" t="s">
        <v>4533</v>
      </c>
      <c r="F241" s="701">
        <v>4</v>
      </c>
      <c r="G241" s="701">
        <v>1096</v>
      </c>
      <c r="H241" s="701"/>
      <c r="I241" s="701">
        <v>274</v>
      </c>
      <c r="J241" s="701"/>
      <c r="K241" s="701"/>
      <c r="L241" s="701"/>
      <c r="M241" s="701"/>
      <c r="N241" s="701">
        <v>5</v>
      </c>
      <c r="O241" s="701">
        <v>1366</v>
      </c>
      <c r="P241" s="723"/>
      <c r="Q241" s="702">
        <v>273.2</v>
      </c>
    </row>
    <row r="242" spans="1:17" ht="14.4" customHeight="1" x14ac:dyDescent="0.3">
      <c r="A242" s="696" t="s">
        <v>4251</v>
      </c>
      <c r="B242" s="697" t="s">
        <v>4252</v>
      </c>
      <c r="C242" s="697" t="s">
        <v>2708</v>
      </c>
      <c r="D242" s="697" t="s">
        <v>4534</v>
      </c>
      <c r="E242" s="697" t="s">
        <v>4535</v>
      </c>
      <c r="F242" s="701">
        <v>12</v>
      </c>
      <c r="G242" s="701">
        <v>1596</v>
      </c>
      <c r="H242" s="701">
        <v>1.0909090909090908</v>
      </c>
      <c r="I242" s="701">
        <v>133</v>
      </c>
      <c r="J242" s="701">
        <v>11</v>
      </c>
      <c r="K242" s="701">
        <v>1463</v>
      </c>
      <c r="L242" s="701">
        <v>1</v>
      </c>
      <c r="M242" s="701">
        <v>133</v>
      </c>
      <c r="N242" s="701">
        <v>3</v>
      </c>
      <c r="O242" s="701">
        <v>399</v>
      </c>
      <c r="P242" s="723">
        <v>0.27272727272727271</v>
      </c>
      <c r="Q242" s="702">
        <v>133</v>
      </c>
    </row>
    <row r="243" spans="1:17" ht="14.4" customHeight="1" x14ac:dyDescent="0.3">
      <c r="A243" s="696" t="s">
        <v>4251</v>
      </c>
      <c r="B243" s="697" t="s">
        <v>4252</v>
      </c>
      <c r="C243" s="697" t="s">
        <v>2708</v>
      </c>
      <c r="D243" s="697" t="s">
        <v>4534</v>
      </c>
      <c r="E243" s="697" t="s">
        <v>4536</v>
      </c>
      <c r="F243" s="701">
        <v>1</v>
      </c>
      <c r="G243" s="701">
        <v>133</v>
      </c>
      <c r="H243" s="701">
        <v>0.5</v>
      </c>
      <c r="I243" s="701">
        <v>133</v>
      </c>
      <c r="J243" s="701">
        <v>2</v>
      </c>
      <c r="K243" s="701">
        <v>266</v>
      </c>
      <c r="L243" s="701">
        <v>1</v>
      </c>
      <c r="M243" s="701">
        <v>133</v>
      </c>
      <c r="N243" s="701"/>
      <c r="O243" s="701"/>
      <c r="P243" s="723"/>
      <c r="Q243" s="702"/>
    </row>
    <row r="244" spans="1:17" ht="14.4" customHeight="1" x14ac:dyDescent="0.3">
      <c r="A244" s="696" t="s">
        <v>4251</v>
      </c>
      <c r="B244" s="697" t="s">
        <v>4252</v>
      </c>
      <c r="C244" s="697" t="s">
        <v>2708</v>
      </c>
      <c r="D244" s="697" t="s">
        <v>4537</v>
      </c>
      <c r="E244" s="697" t="s">
        <v>4538</v>
      </c>
      <c r="F244" s="701">
        <v>410</v>
      </c>
      <c r="G244" s="701">
        <v>15170</v>
      </c>
      <c r="H244" s="701">
        <v>0.86497890295358648</v>
      </c>
      <c r="I244" s="701">
        <v>37</v>
      </c>
      <c r="J244" s="701">
        <v>474</v>
      </c>
      <c r="K244" s="701">
        <v>17538</v>
      </c>
      <c r="L244" s="701">
        <v>1</v>
      </c>
      <c r="M244" s="701">
        <v>37</v>
      </c>
      <c r="N244" s="701">
        <v>436</v>
      </c>
      <c r="O244" s="701">
        <v>16132</v>
      </c>
      <c r="P244" s="723">
        <v>0.91983122362869196</v>
      </c>
      <c r="Q244" s="702">
        <v>37</v>
      </c>
    </row>
    <row r="245" spans="1:17" ht="14.4" customHeight="1" x14ac:dyDescent="0.3">
      <c r="A245" s="696" t="s">
        <v>4251</v>
      </c>
      <c r="B245" s="697" t="s">
        <v>4252</v>
      </c>
      <c r="C245" s="697" t="s">
        <v>2708</v>
      </c>
      <c r="D245" s="697" t="s">
        <v>4537</v>
      </c>
      <c r="E245" s="697" t="s">
        <v>4539</v>
      </c>
      <c r="F245" s="701">
        <v>11</v>
      </c>
      <c r="G245" s="701">
        <v>407</v>
      </c>
      <c r="H245" s="701"/>
      <c r="I245" s="701">
        <v>37</v>
      </c>
      <c r="J245" s="701"/>
      <c r="K245" s="701"/>
      <c r="L245" s="701"/>
      <c r="M245" s="701"/>
      <c r="N245" s="701"/>
      <c r="O245" s="701"/>
      <c r="P245" s="723"/>
      <c r="Q245" s="702"/>
    </row>
    <row r="246" spans="1:17" ht="14.4" customHeight="1" x14ac:dyDescent="0.3">
      <c r="A246" s="696" t="s">
        <v>4251</v>
      </c>
      <c r="B246" s="697" t="s">
        <v>4252</v>
      </c>
      <c r="C246" s="697" t="s">
        <v>2708</v>
      </c>
      <c r="D246" s="697" t="s">
        <v>4540</v>
      </c>
      <c r="E246" s="697" t="s">
        <v>4541</v>
      </c>
      <c r="F246" s="701"/>
      <c r="G246" s="701"/>
      <c r="H246" s="701"/>
      <c r="I246" s="701"/>
      <c r="J246" s="701"/>
      <c r="K246" s="701"/>
      <c r="L246" s="701"/>
      <c r="M246" s="701"/>
      <c r="N246" s="701">
        <v>1</v>
      </c>
      <c r="O246" s="701">
        <v>171</v>
      </c>
      <c r="P246" s="723"/>
      <c r="Q246" s="702">
        <v>171</v>
      </c>
    </row>
    <row r="247" spans="1:17" ht="14.4" customHeight="1" x14ac:dyDescent="0.3">
      <c r="A247" s="696" t="s">
        <v>4251</v>
      </c>
      <c r="B247" s="697" t="s">
        <v>4252</v>
      </c>
      <c r="C247" s="697" t="s">
        <v>2708</v>
      </c>
      <c r="D247" s="697" t="s">
        <v>4542</v>
      </c>
      <c r="E247" s="697" t="s">
        <v>4543</v>
      </c>
      <c r="F247" s="701"/>
      <c r="G247" s="701"/>
      <c r="H247" s="701"/>
      <c r="I247" s="701"/>
      <c r="J247" s="701">
        <v>1</v>
      </c>
      <c r="K247" s="701">
        <v>232</v>
      </c>
      <c r="L247" s="701">
        <v>1</v>
      </c>
      <c r="M247" s="701">
        <v>232</v>
      </c>
      <c r="N247" s="701">
        <v>1</v>
      </c>
      <c r="O247" s="701">
        <v>233</v>
      </c>
      <c r="P247" s="723">
        <v>1.0043103448275863</v>
      </c>
      <c r="Q247" s="702">
        <v>233</v>
      </c>
    </row>
    <row r="248" spans="1:17" ht="14.4" customHeight="1" x14ac:dyDescent="0.3">
      <c r="A248" s="696" t="s">
        <v>4251</v>
      </c>
      <c r="B248" s="697" t="s">
        <v>4252</v>
      </c>
      <c r="C248" s="697" t="s">
        <v>2708</v>
      </c>
      <c r="D248" s="697" t="s">
        <v>4544</v>
      </c>
      <c r="E248" s="697" t="s">
        <v>4545</v>
      </c>
      <c r="F248" s="701">
        <v>2</v>
      </c>
      <c r="G248" s="701">
        <v>1860</v>
      </c>
      <c r="H248" s="701">
        <v>2</v>
      </c>
      <c r="I248" s="701">
        <v>930</v>
      </c>
      <c r="J248" s="701">
        <v>1</v>
      </c>
      <c r="K248" s="701">
        <v>930</v>
      </c>
      <c r="L248" s="701">
        <v>1</v>
      </c>
      <c r="M248" s="701">
        <v>930</v>
      </c>
      <c r="N248" s="701">
        <v>1</v>
      </c>
      <c r="O248" s="701">
        <v>930</v>
      </c>
      <c r="P248" s="723">
        <v>1</v>
      </c>
      <c r="Q248" s="702">
        <v>930</v>
      </c>
    </row>
    <row r="249" spans="1:17" ht="14.4" customHeight="1" x14ac:dyDescent="0.3">
      <c r="A249" s="696" t="s">
        <v>4251</v>
      </c>
      <c r="B249" s="697" t="s">
        <v>4252</v>
      </c>
      <c r="C249" s="697" t="s">
        <v>2708</v>
      </c>
      <c r="D249" s="697" t="s">
        <v>4546</v>
      </c>
      <c r="E249" s="697" t="s">
        <v>4547</v>
      </c>
      <c r="F249" s="701">
        <v>2</v>
      </c>
      <c r="G249" s="701">
        <v>1864</v>
      </c>
      <c r="H249" s="701">
        <v>2</v>
      </c>
      <c r="I249" s="701">
        <v>932</v>
      </c>
      <c r="J249" s="701">
        <v>1</v>
      </c>
      <c r="K249" s="701">
        <v>932</v>
      </c>
      <c r="L249" s="701">
        <v>1</v>
      </c>
      <c r="M249" s="701">
        <v>932</v>
      </c>
      <c r="N249" s="701">
        <v>1</v>
      </c>
      <c r="O249" s="701">
        <v>932</v>
      </c>
      <c r="P249" s="723">
        <v>1</v>
      </c>
      <c r="Q249" s="702">
        <v>932</v>
      </c>
    </row>
    <row r="250" spans="1:17" ht="14.4" customHeight="1" x14ac:dyDescent="0.3">
      <c r="A250" s="696" t="s">
        <v>4251</v>
      </c>
      <c r="B250" s="697" t="s">
        <v>4252</v>
      </c>
      <c r="C250" s="697" t="s">
        <v>2708</v>
      </c>
      <c r="D250" s="697" t="s">
        <v>4548</v>
      </c>
      <c r="E250" s="697" t="s">
        <v>4549</v>
      </c>
      <c r="F250" s="701">
        <v>9</v>
      </c>
      <c r="G250" s="701">
        <v>837</v>
      </c>
      <c r="H250" s="701">
        <v>0.375</v>
      </c>
      <c r="I250" s="701">
        <v>93</v>
      </c>
      <c r="J250" s="701">
        <v>24</v>
      </c>
      <c r="K250" s="701">
        <v>2232</v>
      </c>
      <c r="L250" s="701">
        <v>1</v>
      </c>
      <c r="M250" s="701">
        <v>93</v>
      </c>
      <c r="N250" s="701">
        <v>18</v>
      </c>
      <c r="O250" s="701">
        <v>1674</v>
      </c>
      <c r="P250" s="723">
        <v>0.75</v>
      </c>
      <c r="Q250" s="702">
        <v>93</v>
      </c>
    </row>
    <row r="251" spans="1:17" ht="14.4" customHeight="1" x14ac:dyDescent="0.3">
      <c r="A251" s="696" t="s">
        <v>4251</v>
      </c>
      <c r="B251" s="697" t="s">
        <v>4252</v>
      </c>
      <c r="C251" s="697" t="s">
        <v>2708</v>
      </c>
      <c r="D251" s="697" t="s">
        <v>4550</v>
      </c>
      <c r="E251" s="697" t="s">
        <v>4551</v>
      </c>
      <c r="F251" s="701"/>
      <c r="G251" s="701"/>
      <c r="H251" s="701"/>
      <c r="I251" s="701"/>
      <c r="J251" s="701"/>
      <c r="K251" s="701"/>
      <c r="L251" s="701"/>
      <c r="M251" s="701"/>
      <c r="N251" s="701">
        <v>2</v>
      </c>
      <c r="O251" s="701">
        <v>1884</v>
      </c>
      <c r="P251" s="723"/>
      <c r="Q251" s="702">
        <v>942</v>
      </c>
    </row>
    <row r="252" spans="1:17" ht="14.4" customHeight="1" x14ac:dyDescent="0.3">
      <c r="A252" s="696" t="s">
        <v>4251</v>
      </c>
      <c r="B252" s="697" t="s">
        <v>4252</v>
      </c>
      <c r="C252" s="697" t="s">
        <v>2708</v>
      </c>
      <c r="D252" s="697" t="s">
        <v>4550</v>
      </c>
      <c r="E252" s="697" t="s">
        <v>4552</v>
      </c>
      <c r="F252" s="701">
        <v>8</v>
      </c>
      <c r="G252" s="701">
        <v>7536</v>
      </c>
      <c r="H252" s="701"/>
      <c r="I252" s="701">
        <v>942</v>
      </c>
      <c r="J252" s="701"/>
      <c r="K252" s="701"/>
      <c r="L252" s="701"/>
      <c r="M252" s="701"/>
      <c r="N252" s="701">
        <v>2</v>
      </c>
      <c r="O252" s="701">
        <v>1884</v>
      </c>
      <c r="P252" s="723"/>
      <c r="Q252" s="702">
        <v>942</v>
      </c>
    </row>
    <row r="253" spans="1:17" ht="14.4" customHeight="1" x14ac:dyDescent="0.3">
      <c r="A253" s="696" t="s">
        <v>4251</v>
      </c>
      <c r="B253" s="697" t="s">
        <v>4252</v>
      </c>
      <c r="C253" s="697" t="s">
        <v>2708</v>
      </c>
      <c r="D253" s="697" t="s">
        <v>4553</v>
      </c>
      <c r="E253" s="697" t="s">
        <v>4554</v>
      </c>
      <c r="F253" s="701"/>
      <c r="G253" s="701"/>
      <c r="H253" s="701"/>
      <c r="I253" s="701"/>
      <c r="J253" s="701"/>
      <c r="K253" s="701"/>
      <c r="L253" s="701"/>
      <c r="M253" s="701"/>
      <c r="N253" s="701">
        <v>1</v>
      </c>
      <c r="O253" s="701">
        <v>93</v>
      </c>
      <c r="P253" s="723"/>
      <c r="Q253" s="702">
        <v>93</v>
      </c>
    </row>
    <row r="254" spans="1:17" ht="14.4" customHeight="1" x14ac:dyDescent="0.3">
      <c r="A254" s="696" t="s">
        <v>4251</v>
      </c>
      <c r="B254" s="697" t="s">
        <v>4555</v>
      </c>
      <c r="C254" s="697" t="s">
        <v>2708</v>
      </c>
      <c r="D254" s="697" t="s">
        <v>4556</v>
      </c>
      <c r="E254" s="697" t="s">
        <v>4557</v>
      </c>
      <c r="F254" s="701">
        <v>13</v>
      </c>
      <c r="G254" s="701">
        <v>13494</v>
      </c>
      <c r="H254" s="701">
        <v>2.6</v>
      </c>
      <c r="I254" s="701">
        <v>1038</v>
      </c>
      <c r="J254" s="701">
        <v>5</v>
      </c>
      <c r="K254" s="701">
        <v>5190</v>
      </c>
      <c r="L254" s="701">
        <v>1</v>
      </c>
      <c r="M254" s="701">
        <v>1038</v>
      </c>
      <c r="N254" s="701">
        <v>12</v>
      </c>
      <c r="O254" s="701">
        <v>12456</v>
      </c>
      <c r="P254" s="723">
        <v>2.4</v>
      </c>
      <c r="Q254" s="702">
        <v>1038</v>
      </c>
    </row>
    <row r="255" spans="1:17" ht="14.4" customHeight="1" x14ac:dyDescent="0.3">
      <c r="A255" s="696" t="s">
        <v>4251</v>
      </c>
      <c r="B255" s="697" t="s">
        <v>4555</v>
      </c>
      <c r="C255" s="697" t="s">
        <v>2708</v>
      </c>
      <c r="D255" s="697" t="s">
        <v>4556</v>
      </c>
      <c r="E255" s="697" t="s">
        <v>4558</v>
      </c>
      <c r="F255" s="701">
        <v>1</v>
      </c>
      <c r="G255" s="701">
        <v>1038</v>
      </c>
      <c r="H255" s="701">
        <v>1</v>
      </c>
      <c r="I255" s="701">
        <v>1038</v>
      </c>
      <c r="J255" s="701">
        <v>1</v>
      </c>
      <c r="K255" s="701">
        <v>1038</v>
      </c>
      <c r="L255" s="701">
        <v>1</v>
      </c>
      <c r="M255" s="701">
        <v>1038</v>
      </c>
      <c r="N255" s="701">
        <v>1</v>
      </c>
      <c r="O255" s="701">
        <v>1038</v>
      </c>
      <c r="P255" s="723">
        <v>1</v>
      </c>
      <c r="Q255" s="702">
        <v>1038</v>
      </c>
    </row>
    <row r="256" spans="1:17" ht="14.4" customHeight="1" x14ac:dyDescent="0.3">
      <c r="A256" s="696" t="s">
        <v>4559</v>
      </c>
      <c r="B256" s="697" t="s">
        <v>3936</v>
      </c>
      <c r="C256" s="697" t="s">
        <v>3145</v>
      </c>
      <c r="D256" s="697" t="s">
        <v>4560</v>
      </c>
      <c r="E256" s="697" t="s">
        <v>4561</v>
      </c>
      <c r="F256" s="701">
        <v>1</v>
      </c>
      <c r="G256" s="701">
        <v>2708.04</v>
      </c>
      <c r="H256" s="701">
        <v>1.0453613739273429</v>
      </c>
      <c r="I256" s="701">
        <v>2708.04</v>
      </c>
      <c r="J256" s="701">
        <v>1</v>
      </c>
      <c r="K256" s="701">
        <v>2590.5300000000002</v>
      </c>
      <c r="L256" s="701">
        <v>1</v>
      </c>
      <c r="M256" s="701">
        <v>2590.5300000000002</v>
      </c>
      <c r="N256" s="701"/>
      <c r="O256" s="701"/>
      <c r="P256" s="723"/>
      <c r="Q256" s="702"/>
    </row>
    <row r="257" spans="1:17" ht="14.4" customHeight="1" x14ac:dyDescent="0.3">
      <c r="A257" s="696" t="s">
        <v>4559</v>
      </c>
      <c r="B257" s="697" t="s">
        <v>3936</v>
      </c>
      <c r="C257" s="697" t="s">
        <v>3145</v>
      </c>
      <c r="D257" s="697" t="s">
        <v>4562</v>
      </c>
      <c r="E257" s="697" t="s">
        <v>4561</v>
      </c>
      <c r="F257" s="701"/>
      <c r="G257" s="701"/>
      <c r="H257" s="701"/>
      <c r="I257" s="701"/>
      <c r="J257" s="701">
        <v>0.2</v>
      </c>
      <c r="K257" s="701">
        <v>1295.26</v>
      </c>
      <c r="L257" s="701">
        <v>1</v>
      </c>
      <c r="M257" s="701">
        <v>6476.2999999999993</v>
      </c>
      <c r="N257" s="701"/>
      <c r="O257" s="701"/>
      <c r="P257" s="723"/>
      <c r="Q257" s="702"/>
    </row>
    <row r="258" spans="1:17" ht="14.4" customHeight="1" x14ac:dyDescent="0.3">
      <c r="A258" s="696" t="s">
        <v>4559</v>
      </c>
      <c r="B258" s="697" t="s">
        <v>3936</v>
      </c>
      <c r="C258" s="697" t="s">
        <v>3145</v>
      </c>
      <c r="D258" s="697" t="s">
        <v>4563</v>
      </c>
      <c r="E258" s="697" t="s">
        <v>3168</v>
      </c>
      <c r="F258" s="701">
        <v>0.92</v>
      </c>
      <c r="G258" s="701">
        <v>4548.43</v>
      </c>
      <c r="H258" s="701">
        <v>3.2857256375063213</v>
      </c>
      <c r="I258" s="701">
        <v>4943.945652173913</v>
      </c>
      <c r="J258" s="701">
        <v>0.28000000000000003</v>
      </c>
      <c r="K258" s="701">
        <v>1384.3</v>
      </c>
      <c r="L258" s="701">
        <v>1</v>
      </c>
      <c r="M258" s="701">
        <v>4943.9285714285706</v>
      </c>
      <c r="N258" s="701">
        <v>0.14000000000000001</v>
      </c>
      <c r="O258" s="701">
        <v>688.92</v>
      </c>
      <c r="P258" s="723">
        <v>0.49766669074622549</v>
      </c>
      <c r="Q258" s="702">
        <v>4920.8571428571422</v>
      </c>
    </row>
    <row r="259" spans="1:17" ht="14.4" customHeight="1" x14ac:dyDescent="0.3">
      <c r="A259" s="696" t="s">
        <v>4559</v>
      </c>
      <c r="B259" s="697" t="s">
        <v>3936</v>
      </c>
      <c r="C259" s="697" t="s">
        <v>3145</v>
      </c>
      <c r="D259" s="697" t="s">
        <v>4563</v>
      </c>
      <c r="E259" s="697" t="s">
        <v>3169</v>
      </c>
      <c r="F259" s="701">
        <v>0.32</v>
      </c>
      <c r="G259" s="701">
        <v>1582.05</v>
      </c>
      <c r="H259" s="701">
        <v>3.2000040453892677</v>
      </c>
      <c r="I259" s="701">
        <v>4943.90625</v>
      </c>
      <c r="J259" s="701">
        <v>0.1</v>
      </c>
      <c r="K259" s="701">
        <v>494.39</v>
      </c>
      <c r="L259" s="701">
        <v>1</v>
      </c>
      <c r="M259" s="701">
        <v>4943.8999999999996</v>
      </c>
      <c r="N259" s="701"/>
      <c r="O259" s="701"/>
      <c r="P259" s="723"/>
      <c r="Q259" s="702"/>
    </row>
    <row r="260" spans="1:17" ht="14.4" customHeight="1" x14ac:dyDescent="0.3">
      <c r="A260" s="696" t="s">
        <v>4559</v>
      </c>
      <c r="B260" s="697" t="s">
        <v>3936</v>
      </c>
      <c r="C260" s="697" t="s">
        <v>3145</v>
      </c>
      <c r="D260" s="697" t="s">
        <v>4564</v>
      </c>
      <c r="E260" s="697" t="s">
        <v>4565</v>
      </c>
      <c r="F260" s="701">
        <v>20.85</v>
      </c>
      <c r="G260" s="701">
        <v>20947.960000000003</v>
      </c>
      <c r="H260" s="701">
        <v>1.4477301251181796</v>
      </c>
      <c r="I260" s="701">
        <v>1004.6983213429257</v>
      </c>
      <c r="J260" s="701">
        <v>14.399999999999999</v>
      </c>
      <c r="K260" s="701">
        <v>14469.52</v>
      </c>
      <c r="L260" s="701">
        <v>1</v>
      </c>
      <c r="M260" s="701">
        <v>1004.8277777777779</v>
      </c>
      <c r="N260" s="701"/>
      <c r="O260" s="701"/>
      <c r="P260" s="723"/>
      <c r="Q260" s="702"/>
    </row>
    <row r="261" spans="1:17" ht="14.4" customHeight="1" x14ac:dyDescent="0.3">
      <c r="A261" s="696" t="s">
        <v>4559</v>
      </c>
      <c r="B261" s="697" t="s">
        <v>3936</v>
      </c>
      <c r="C261" s="697" t="s">
        <v>3145</v>
      </c>
      <c r="D261" s="697" t="s">
        <v>4566</v>
      </c>
      <c r="E261" s="697" t="s">
        <v>3168</v>
      </c>
      <c r="F261" s="701">
        <v>2.5500000000000003</v>
      </c>
      <c r="G261" s="701">
        <v>25214.070000000003</v>
      </c>
      <c r="H261" s="701">
        <v>1.2439008868208246</v>
      </c>
      <c r="I261" s="701">
        <v>9887.8705882352951</v>
      </c>
      <c r="J261" s="701">
        <v>2.0499999999999998</v>
      </c>
      <c r="K261" s="701">
        <v>20270.16</v>
      </c>
      <c r="L261" s="701">
        <v>1</v>
      </c>
      <c r="M261" s="701">
        <v>9887.8829268292684</v>
      </c>
      <c r="N261" s="701">
        <v>2.1800000000000002</v>
      </c>
      <c r="O261" s="701">
        <v>20804.09</v>
      </c>
      <c r="P261" s="723">
        <v>1.02634068996002</v>
      </c>
      <c r="Q261" s="702">
        <v>9543.1605504587151</v>
      </c>
    </row>
    <row r="262" spans="1:17" ht="14.4" customHeight="1" x14ac:dyDescent="0.3">
      <c r="A262" s="696" t="s">
        <v>4559</v>
      </c>
      <c r="B262" s="697" t="s">
        <v>3936</v>
      </c>
      <c r="C262" s="697" t="s">
        <v>3145</v>
      </c>
      <c r="D262" s="697" t="s">
        <v>4566</v>
      </c>
      <c r="E262" s="697" t="s">
        <v>3169</v>
      </c>
      <c r="F262" s="701">
        <v>1.9300000000000002</v>
      </c>
      <c r="G262" s="701">
        <v>19083.62</v>
      </c>
      <c r="H262" s="701">
        <v>0.99484737619679642</v>
      </c>
      <c r="I262" s="701">
        <v>9887.8860103626921</v>
      </c>
      <c r="J262" s="701">
        <v>1.94</v>
      </c>
      <c r="K262" s="701">
        <v>19182.46</v>
      </c>
      <c r="L262" s="701">
        <v>1</v>
      </c>
      <c r="M262" s="701">
        <v>9887.8659793814422</v>
      </c>
      <c r="N262" s="701">
        <v>1.67</v>
      </c>
      <c r="O262" s="701">
        <v>14383.429999999998</v>
      </c>
      <c r="P262" s="723">
        <v>0.74982197278138463</v>
      </c>
      <c r="Q262" s="702">
        <v>8612.8323353293399</v>
      </c>
    </row>
    <row r="263" spans="1:17" ht="14.4" customHeight="1" x14ac:dyDescent="0.3">
      <c r="A263" s="696" t="s">
        <v>4559</v>
      </c>
      <c r="B263" s="697" t="s">
        <v>3936</v>
      </c>
      <c r="C263" s="697" t="s">
        <v>3145</v>
      </c>
      <c r="D263" s="697" t="s">
        <v>4567</v>
      </c>
      <c r="E263" s="697" t="s">
        <v>4568</v>
      </c>
      <c r="F263" s="701"/>
      <c r="G263" s="701"/>
      <c r="H263" s="701"/>
      <c r="I263" s="701"/>
      <c r="J263" s="701"/>
      <c r="K263" s="701"/>
      <c r="L263" s="701"/>
      <c r="M263" s="701"/>
      <c r="N263" s="701">
        <v>2</v>
      </c>
      <c r="O263" s="701">
        <v>10379.6</v>
      </c>
      <c r="P263" s="723"/>
      <c r="Q263" s="702">
        <v>5189.8</v>
      </c>
    </row>
    <row r="264" spans="1:17" ht="14.4" customHeight="1" x14ac:dyDescent="0.3">
      <c r="A264" s="696" t="s">
        <v>4559</v>
      </c>
      <c r="B264" s="697" t="s">
        <v>3936</v>
      </c>
      <c r="C264" s="697" t="s">
        <v>3145</v>
      </c>
      <c r="D264" s="697" t="s">
        <v>3187</v>
      </c>
      <c r="E264" s="697" t="s">
        <v>3188</v>
      </c>
      <c r="F264" s="701">
        <v>1.01</v>
      </c>
      <c r="G264" s="701">
        <v>4561.71</v>
      </c>
      <c r="H264" s="701">
        <v>3.1152624785735261</v>
      </c>
      <c r="I264" s="701">
        <v>4516.5445544554459</v>
      </c>
      <c r="J264" s="701">
        <v>0.32</v>
      </c>
      <c r="K264" s="701">
        <v>1464.31</v>
      </c>
      <c r="L264" s="701">
        <v>1</v>
      </c>
      <c r="M264" s="701">
        <v>4575.96875</v>
      </c>
      <c r="N264" s="701">
        <v>0.87000000000000011</v>
      </c>
      <c r="O264" s="701">
        <v>2072.4700000000003</v>
      </c>
      <c r="P264" s="723">
        <v>1.4153218922222757</v>
      </c>
      <c r="Q264" s="702">
        <v>2382.1494252873563</v>
      </c>
    </row>
    <row r="265" spans="1:17" ht="14.4" customHeight="1" x14ac:dyDescent="0.3">
      <c r="A265" s="696" t="s">
        <v>4559</v>
      </c>
      <c r="B265" s="697" t="s">
        <v>3936</v>
      </c>
      <c r="C265" s="697" t="s">
        <v>3145</v>
      </c>
      <c r="D265" s="697" t="s">
        <v>4569</v>
      </c>
      <c r="E265" s="697" t="s">
        <v>3188</v>
      </c>
      <c r="F265" s="701">
        <v>0.48000000000000004</v>
      </c>
      <c r="G265" s="701">
        <v>4254.74</v>
      </c>
      <c r="H265" s="701">
        <v>0.93560736833077884</v>
      </c>
      <c r="I265" s="701">
        <v>8864.0416666666661</v>
      </c>
      <c r="J265" s="701">
        <v>0.5</v>
      </c>
      <c r="K265" s="701">
        <v>4547.57</v>
      </c>
      <c r="L265" s="701">
        <v>1</v>
      </c>
      <c r="M265" s="701">
        <v>9095.14</v>
      </c>
      <c r="N265" s="701">
        <v>0.2</v>
      </c>
      <c r="O265" s="701">
        <v>1586.26</v>
      </c>
      <c r="P265" s="723">
        <v>0.34881486156342839</v>
      </c>
      <c r="Q265" s="702">
        <v>7931.2999999999993</v>
      </c>
    </row>
    <row r="266" spans="1:17" ht="14.4" customHeight="1" x14ac:dyDescent="0.3">
      <c r="A266" s="696" t="s">
        <v>4559</v>
      </c>
      <c r="B266" s="697" t="s">
        <v>3936</v>
      </c>
      <c r="C266" s="697" t="s">
        <v>3145</v>
      </c>
      <c r="D266" s="697" t="s">
        <v>4570</v>
      </c>
      <c r="E266" s="697" t="s">
        <v>4571</v>
      </c>
      <c r="F266" s="701">
        <v>2.4</v>
      </c>
      <c r="G266" s="701">
        <v>4678.32</v>
      </c>
      <c r="H266" s="701">
        <v>0.82191867461941881</v>
      </c>
      <c r="I266" s="701">
        <v>1949.3</v>
      </c>
      <c r="J266" s="701">
        <v>2.92</v>
      </c>
      <c r="K266" s="701">
        <v>5691.9499999999989</v>
      </c>
      <c r="L266" s="701">
        <v>1</v>
      </c>
      <c r="M266" s="701">
        <v>1949.2979452054792</v>
      </c>
      <c r="N266" s="701">
        <v>0.9</v>
      </c>
      <c r="O266" s="701">
        <v>1612.6700000000003</v>
      </c>
      <c r="P266" s="723">
        <v>0.28332469540315719</v>
      </c>
      <c r="Q266" s="702">
        <v>1791.8555555555558</v>
      </c>
    </row>
    <row r="267" spans="1:17" ht="14.4" customHeight="1" x14ac:dyDescent="0.3">
      <c r="A267" s="696" t="s">
        <v>4559</v>
      </c>
      <c r="B267" s="697" t="s">
        <v>3936</v>
      </c>
      <c r="C267" s="697" t="s">
        <v>3145</v>
      </c>
      <c r="D267" s="697" t="s">
        <v>4572</v>
      </c>
      <c r="E267" s="697" t="s">
        <v>3188</v>
      </c>
      <c r="F267" s="701">
        <v>21.5</v>
      </c>
      <c r="G267" s="701">
        <v>38774.049999999996</v>
      </c>
      <c r="H267" s="701">
        <v>1.2321234447933207</v>
      </c>
      <c r="I267" s="701">
        <v>1803.4441860465115</v>
      </c>
      <c r="J267" s="701">
        <v>17.3</v>
      </c>
      <c r="K267" s="701">
        <v>31469.289999999997</v>
      </c>
      <c r="L267" s="701">
        <v>1</v>
      </c>
      <c r="M267" s="701">
        <v>1819.0341040462426</v>
      </c>
      <c r="N267" s="701">
        <v>28.709999999999997</v>
      </c>
      <c r="O267" s="701">
        <v>38369.520000000011</v>
      </c>
      <c r="P267" s="723">
        <v>1.2192686902055945</v>
      </c>
      <c r="Q267" s="702">
        <v>1336.4514106583076</v>
      </c>
    </row>
    <row r="268" spans="1:17" ht="14.4" customHeight="1" x14ac:dyDescent="0.3">
      <c r="A268" s="696" t="s">
        <v>4559</v>
      </c>
      <c r="B268" s="697" t="s">
        <v>3936</v>
      </c>
      <c r="C268" s="697" t="s">
        <v>3145</v>
      </c>
      <c r="D268" s="697" t="s">
        <v>4573</v>
      </c>
      <c r="E268" s="697" t="s">
        <v>4574</v>
      </c>
      <c r="F268" s="701">
        <v>0.78</v>
      </c>
      <c r="G268" s="701">
        <v>403.71999999999997</v>
      </c>
      <c r="H268" s="701">
        <v>3.1199381761978358</v>
      </c>
      <c r="I268" s="701">
        <v>517.58974358974353</v>
      </c>
      <c r="J268" s="701">
        <v>0.25</v>
      </c>
      <c r="K268" s="701">
        <v>129.4</v>
      </c>
      <c r="L268" s="701">
        <v>1</v>
      </c>
      <c r="M268" s="701">
        <v>517.6</v>
      </c>
      <c r="N268" s="701">
        <v>0.44999999999999996</v>
      </c>
      <c r="O268" s="701">
        <v>214.67000000000002</v>
      </c>
      <c r="P268" s="723">
        <v>1.6589644513137558</v>
      </c>
      <c r="Q268" s="702">
        <v>477.04444444444454</v>
      </c>
    </row>
    <row r="269" spans="1:17" ht="14.4" customHeight="1" x14ac:dyDescent="0.3">
      <c r="A269" s="696" t="s">
        <v>4559</v>
      </c>
      <c r="B269" s="697" t="s">
        <v>3936</v>
      </c>
      <c r="C269" s="697" t="s">
        <v>3145</v>
      </c>
      <c r="D269" s="697" t="s">
        <v>4575</v>
      </c>
      <c r="E269" s="697" t="s">
        <v>4576</v>
      </c>
      <c r="F269" s="701">
        <v>0.25</v>
      </c>
      <c r="G269" s="701">
        <v>225.95</v>
      </c>
      <c r="H269" s="701">
        <v>1.25</v>
      </c>
      <c r="I269" s="701">
        <v>903.8</v>
      </c>
      <c r="J269" s="701">
        <v>0.2</v>
      </c>
      <c r="K269" s="701">
        <v>180.76</v>
      </c>
      <c r="L269" s="701">
        <v>1</v>
      </c>
      <c r="M269" s="701">
        <v>903.8</v>
      </c>
      <c r="N269" s="701">
        <v>0.42999999999999994</v>
      </c>
      <c r="O269" s="701">
        <v>355.33</v>
      </c>
      <c r="P269" s="723">
        <v>1.9657556981633104</v>
      </c>
      <c r="Q269" s="702">
        <v>826.34883720930236</v>
      </c>
    </row>
    <row r="270" spans="1:17" ht="14.4" customHeight="1" x14ac:dyDescent="0.3">
      <c r="A270" s="696" t="s">
        <v>4559</v>
      </c>
      <c r="B270" s="697" t="s">
        <v>3936</v>
      </c>
      <c r="C270" s="697" t="s">
        <v>3145</v>
      </c>
      <c r="D270" s="697" t="s">
        <v>4577</v>
      </c>
      <c r="E270" s="697" t="s">
        <v>3188</v>
      </c>
      <c r="F270" s="701">
        <v>0.98000000000000009</v>
      </c>
      <c r="G270" s="701">
        <v>31823.520000000004</v>
      </c>
      <c r="H270" s="701">
        <v>0.71582569075611835</v>
      </c>
      <c r="I270" s="701">
        <v>32472.979591836734</v>
      </c>
      <c r="J270" s="701">
        <v>1.31</v>
      </c>
      <c r="K270" s="701">
        <v>44457.079999999987</v>
      </c>
      <c r="L270" s="701">
        <v>1</v>
      </c>
      <c r="M270" s="701">
        <v>33936.702290076326</v>
      </c>
      <c r="N270" s="701">
        <v>0.64000000000000012</v>
      </c>
      <c r="O270" s="701">
        <v>17796.910000000003</v>
      </c>
      <c r="P270" s="723">
        <v>0.40031666497214863</v>
      </c>
      <c r="Q270" s="702">
        <v>27807.671875</v>
      </c>
    </row>
    <row r="271" spans="1:17" ht="14.4" customHeight="1" x14ac:dyDescent="0.3">
      <c r="A271" s="696" t="s">
        <v>4559</v>
      </c>
      <c r="B271" s="697" t="s">
        <v>3936</v>
      </c>
      <c r="C271" s="697" t="s">
        <v>3145</v>
      </c>
      <c r="D271" s="697" t="s">
        <v>4578</v>
      </c>
      <c r="E271" s="697" t="s">
        <v>3188</v>
      </c>
      <c r="F271" s="701"/>
      <c r="G271" s="701"/>
      <c r="H271" s="701"/>
      <c r="I271" s="701"/>
      <c r="J271" s="701"/>
      <c r="K271" s="701"/>
      <c r="L271" s="701"/>
      <c r="M271" s="701"/>
      <c r="N271" s="701">
        <v>11.16</v>
      </c>
      <c r="O271" s="701">
        <v>7315.56</v>
      </c>
      <c r="P271" s="723"/>
      <c r="Q271" s="702">
        <v>655.51612903225805</v>
      </c>
    </row>
    <row r="272" spans="1:17" ht="14.4" customHeight="1" x14ac:dyDescent="0.3">
      <c r="A272" s="696" t="s">
        <v>4559</v>
      </c>
      <c r="B272" s="697" t="s">
        <v>3936</v>
      </c>
      <c r="C272" s="697" t="s">
        <v>3145</v>
      </c>
      <c r="D272" s="697" t="s">
        <v>4579</v>
      </c>
      <c r="E272" s="697" t="s">
        <v>3188</v>
      </c>
      <c r="F272" s="701"/>
      <c r="G272" s="701"/>
      <c r="H272" s="701"/>
      <c r="I272" s="701"/>
      <c r="J272" s="701"/>
      <c r="K272" s="701"/>
      <c r="L272" s="701"/>
      <c r="M272" s="701"/>
      <c r="N272" s="701">
        <v>0.25</v>
      </c>
      <c r="O272" s="701">
        <v>2908.06</v>
      </c>
      <c r="P272" s="723"/>
      <c r="Q272" s="702">
        <v>11632.24</v>
      </c>
    </row>
    <row r="273" spans="1:17" ht="14.4" customHeight="1" x14ac:dyDescent="0.3">
      <c r="A273" s="696" t="s">
        <v>4559</v>
      </c>
      <c r="B273" s="697" t="s">
        <v>3936</v>
      </c>
      <c r="C273" s="697" t="s">
        <v>3145</v>
      </c>
      <c r="D273" s="697" t="s">
        <v>4580</v>
      </c>
      <c r="E273" s="697" t="s">
        <v>4571</v>
      </c>
      <c r="F273" s="701"/>
      <c r="G273" s="701"/>
      <c r="H273" s="701"/>
      <c r="I273" s="701"/>
      <c r="J273" s="701"/>
      <c r="K273" s="701"/>
      <c r="L273" s="701"/>
      <c r="M273" s="701"/>
      <c r="N273" s="701">
        <v>0.1</v>
      </c>
      <c r="O273" s="701">
        <v>53.23</v>
      </c>
      <c r="P273" s="723"/>
      <c r="Q273" s="702">
        <v>532.29999999999995</v>
      </c>
    </row>
    <row r="274" spans="1:17" ht="14.4" customHeight="1" x14ac:dyDescent="0.3">
      <c r="A274" s="696" t="s">
        <v>4559</v>
      </c>
      <c r="B274" s="697" t="s">
        <v>3936</v>
      </c>
      <c r="C274" s="697" t="s">
        <v>3294</v>
      </c>
      <c r="D274" s="697" t="s">
        <v>4581</v>
      </c>
      <c r="E274" s="697" t="s">
        <v>4582</v>
      </c>
      <c r="F274" s="701">
        <v>2</v>
      </c>
      <c r="G274" s="701">
        <v>1179.18</v>
      </c>
      <c r="H274" s="701"/>
      <c r="I274" s="701">
        <v>589.59</v>
      </c>
      <c r="J274" s="701"/>
      <c r="K274" s="701"/>
      <c r="L274" s="701"/>
      <c r="M274" s="701"/>
      <c r="N274" s="701">
        <v>5</v>
      </c>
      <c r="O274" s="701">
        <v>2947.95</v>
      </c>
      <c r="P274" s="723"/>
      <c r="Q274" s="702">
        <v>589.58999999999992</v>
      </c>
    </row>
    <row r="275" spans="1:17" ht="14.4" customHeight="1" x14ac:dyDescent="0.3">
      <c r="A275" s="696" t="s">
        <v>4559</v>
      </c>
      <c r="B275" s="697" t="s">
        <v>3936</v>
      </c>
      <c r="C275" s="697" t="s">
        <v>3294</v>
      </c>
      <c r="D275" s="697" t="s">
        <v>4583</v>
      </c>
      <c r="E275" s="697" t="s">
        <v>4584</v>
      </c>
      <c r="F275" s="701">
        <v>1</v>
      </c>
      <c r="G275" s="701">
        <v>1707.1</v>
      </c>
      <c r="H275" s="701"/>
      <c r="I275" s="701">
        <v>1707.1</v>
      </c>
      <c r="J275" s="701"/>
      <c r="K275" s="701"/>
      <c r="L275" s="701"/>
      <c r="M275" s="701"/>
      <c r="N275" s="701"/>
      <c r="O275" s="701"/>
      <c r="P275" s="723"/>
      <c r="Q275" s="702"/>
    </row>
    <row r="276" spans="1:17" ht="14.4" customHeight="1" x14ac:dyDescent="0.3">
      <c r="A276" s="696" t="s">
        <v>4559</v>
      </c>
      <c r="B276" s="697" t="s">
        <v>3936</v>
      </c>
      <c r="C276" s="697" t="s">
        <v>3294</v>
      </c>
      <c r="D276" s="697" t="s">
        <v>4585</v>
      </c>
      <c r="E276" s="697" t="s">
        <v>3405</v>
      </c>
      <c r="F276" s="701">
        <v>10</v>
      </c>
      <c r="G276" s="701">
        <v>9723.2000000000007</v>
      </c>
      <c r="H276" s="701">
        <v>1.25</v>
      </c>
      <c r="I276" s="701">
        <v>972.32</v>
      </c>
      <c r="J276" s="701">
        <v>8</v>
      </c>
      <c r="K276" s="701">
        <v>7778.56</v>
      </c>
      <c r="L276" s="701">
        <v>1</v>
      </c>
      <c r="M276" s="701">
        <v>972.32</v>
      </c>
      <c r="N276" s="701">
        <v>10</v>
      </c>
      <c r="O276" s="701">
        <v>9723.2000000000007</v>
      </c>
      <c r="P276" s="723">
        <v>1.25</v>
      </c>
      <c r="Q276" s="702">
        <v>972.32</v>
      </c>
    </row>
    <row r="277" spans="1:17" ht="14.4" customHeight="1" x14ac:dyDescent="0.3">
      <c r="A277" s="696" t="s">
        <v>4559</v>
      </c>
      <c r="B277" s="697" t="s">
        <v>3936</v>
      </c>
      <c r="C277" s="697" t="s">
        <v>3294</v>
      </c>
      <c r="D277" s="697" t="s">
        <v>4586</v>
      </c>
      <c r="E277" s="697" t="s">
        <v>3405</v>
      </c>
      <c r="F277" s="701">
        <v>1</v>
      </c>
      <c r="G277" s="701">
        <v>1408.42</v>
      </c>
      <c r="H277" s="701"/>
      <c r="I277" s="701">
        <v>1408.42</v>
      </c>
      <c r="J277" s="701"/>
      <c r="K277" s="701"/>
      <c r="L277" s="701"/>
      <c r="M277" s="701"/>
      <c r="N277" s="701"/>
      <c r="O277" s="701"/>
      <c r="P277" s="723"/>
      <c r="Q277" s="702"/>
    </row>
    <row r="278" spans="1:17" ht="14.4" customHeight="1" x14ac:dyDescent="0.3">
      <c r="A278" s="696" t="s">
        <v>4559</v>
      </c>
      <c r="B278" s="697" t="s">
        <v>3936</v>
      </c>
      <c r="C278" s="697" t="s">
        <v>3294</v>
      </c>
      <c r="D278" s="697" t="s">
        <v>3404</v>
      </c>
      <c r="E278" s="697" t="s">
        <v>3405</v>
      </c>
      <c r="F278" s="701">
        <v>30</v>
      </c>
      <c r="G278" s="701">
        <v>51219.299999999996</v>
      </c>
      <c r="H278" s="701">
        <v>0.96774193548387077</v>
      </c>
      <c r="I278" s="701">
        <v>1707.31</v>
      </c>
      <c r="J278" s="701">
        <v>31</v>
      </c>
      <c r="K278" s="701">
        <v>52926.610000000008</v>
      </c>
      <c r="L278" s="701">
        <v>1</v>
      </c>
      <c r="M278" s="701">
        <v>1707.3100000000002</v>
      </c>
      <c r="N278" s="701">
        <v>26</v>
      </c>
      <c r="O278" s="701">
        <v>29845.050000000003</v>
      </c>
      <c r="P278" s="723">
        <v>0.56389498590595544</v>
      </c>
      <c r="Q278" s="702">
        <v>1147.8865384615385</v>
      </c>
    </row>
    <row r="279" spans="1:17" ht="14.4" customHeight="1" x14ac:dyDescent="0.3">
      <c r="A279" s="696" t="s">
        <v>4559</v>
      </c>
      <c r="B279" s="697" t="s">
        <v>3936</v>
      </c>
      <c r="C279" s="697" t="s">
        <v>3294</v>
      </c>
      <c r="D279" s="697" t="s">
        <v>4587</v>
      </c>
      <c r="E279" s="697" t="s">
        <v>3405</v>
      </c>
      <c r="F279" s="701">
        <v>7</v>
      </c>
      <c r="G279" s="701">
        <v>14464.099999999999</v>
      </c>
      <c r="H279" s="701">
        <v>0.63636363636363635</v>
      </c>
      <c r="I279" s="701">
        <v>2066.2999999999997</v>
      </c>
      <c r="J279" s="701">
        <v>11</v>
      </c>
      <c r="K279" s="701">
        <v>22729.3</v>
      </c>
      <c r="L279" s="701">
        <v>1</v>
      </c>
      <c r="M279" s="701">
        <v>2066.2999999999997</v>
      </c>
      <c r="N279" s="701">
        <v>5</v>
      </c>
      <c r="O279" s="701">
        <v>7196.02</v>
      </c>
      <c r="P279" s="723">
        <v>0.31659663957974954</v>
      </c>
      <c r="Q279" s="702">
        <v>1439.2040000000002</v>
      </c>
    </row>
    <row r="280" spans="1:17" ht="14.4" customHeight="1" x14ac:dyDescent="0.3">
      <c r="A280" s="696" t="s">
        <v>4559</v>
      </c>
      <c r="B280" s="697" t="s">
        <v>3936</v>
      </c>
      <c r="C280" s="697" t="s">
        <v>3294</v>
      </c>
      <c r="D280" s="697" t="s">
        <v>4588</v>
      </c>
      <c r="E280" s="697" t="s">
        <v>4589</v>
      </c>
      <c r="F280" s="701">
        <v>3</v>
      </c>
      <c r="G280" s="701">
        <v>5796.2699999999995</v>
      </c>
      <c r="H280" s="701">
        <v>3</v>
      </c>
      <c r="I280" s="701">
        <v>1932.09</v>
      </c>
      <c r="J280" s="701">
        <v>1</v>
      </c>
      <c r="K280" s="701">
        <v>1932.09</v>
      </c>
      <c r="L280" s="701">
        <v>1</v>
      </c>
      <c r="M280" s="701">
        <v>1932.09</v>
      </c>
      <c r="N280" s="701"/>
      <c r="O280" s="701"/>
      <c r="P280" s="723"/>
      <c r="Q280" s="702"/>
    </row>
    <row r="281" spans="1:17" ht="14.4" customHeight="1" x14ac:dyDescent="0.3">
      <c r="A281" s="696" t="s">
        <v>4559</v>
      </c>
      <c r="B281" s="697" t="s">
        <v>3936</v>
      </c>
      <c r="C281" s="697" t="s">
        <v>3294</v>
      </c>
      <c r="D281" s="697" t="s">
        <v>4590</v>
      </c>
      <c r="E281" s="697" t="s">
        <v>4591</v>
      </c>
      <c r="F281" s="701">
        <v>22</v>
      </c>
      <c r="G281" s="701">
        <v>22610.720000000001</v>
      </c>
      <c r="H281" s="701">
        <v>1.2222222222222223</v>
      </c>
      <c r="I281" s="701">
        <v>1027.76</v>
      </c>
      <c r="J281" s="701">
        <v>18</v>
      </c>
      <c r="K281" s="701">
        <v>18499.68</v>
      </c>
      <c r="L281" s="701">
        <v>1</v>
      </c>
      <c r="M281" s="701">
        <v>1027.76</v>
      </c>
      <c r="N281" s="701">
        <v>6</v>
      </c>
      <c r="O281" s="701">
        <v>5634.84</v>
      </c>
      <c r="P281" s="723">
        <v>0.30459121455073818</v>
      </c>
      <c r="Q281" s="702">
        <v>939.14</v>
      </c>
    </row>
    <row r="282" spans="1:17" ht="14.4" customHeight="1" x14ac:dyDescent="0.3">
      <c r="A282" s="696" t="s">
        <v>4559</v>
      </c>
      <c r="B282" s="697" t="s">
        <v>3936</v>
      </c>
      <c r="C282" s="697" t="s">
        <v>3294</v>
      </c>
      <c r="D282" s="697" t="s">
        <v>4592</v>
      </c>
      <c r="E282" s="697" t="s">
        <v>4591</v>
      </c>
      <c r="F282" s="701">
        <v>11</v>
      </c>
      <c r="G282" s="701">
        <v>23560.35</v>
      </c>
      <c r="H282" s="701">
        <v>0.55000000000000004</v>
      </c>
      <c r="I282" s="701">
        <v>2141.85</v>
      </c>
      <c r="J282" s="701">
        <v>20</v>
      </c>
      <c r="K282" s="701">
        <v>42836.999999999993</v>
      </c>
      <c r="L282" s="701">
        <v>1</v>
      </c>
      <c r="M282" s="701">
        <v>2141.8499999999995</v>
      </c>
      <c r="N282" s="701">
        <v>15</v>
      </c>
      <c r="O282" s="701">
        <v>17039.650000000001</v>
      </c>
      <c r="P282" s="723">
        <v>0.3977787893643347</v>
      </c>
      <c r="Q282" s="702">
        <v>1135.9766666666667</v>
      </c>
    </row>
    <row r="283" spans="1:17" ht="14.4" customHeight="1" x14ac:dyDescent="0.3">
      <c r="A283" s="696" t="s">
        <v>4559</v>
      </c>
      <c r="B283" s="697" t="s">
        <v>3936</v>
      </c>
      <c r="C283" s="697" t="s">
        <v>3294</v>
      </c>
      <c r="D283" s="697" t="s">
        <v>4593</v>
      </c>
      <c r="E283" s="697" t="s">
        <v>4594</v>
      </c>
      <c r="F283" s="701">
        <v>1</v>
      </c>
      <c r="G283" s="701">
        <v>17350</v>
      </c>
      <c r="H283" s="701"/>
      <c r="I283" s="701">
        <v>17350</v>
      </c>
      <c r="J283" s="701"/>
      <c r="K283" s="701"/>
      <c r="L283" s="701"/>
      <c r="M283" s="701"/>
      <c r="N283" s="701"/>
      <c r="O283" s="701"/>
      <c r="P283" s="723"/>
      <c r="Q283" s="702"/>
    </row>
    <row r="284" spans="1:17" ht="14.4" customHeight="1" x14ac:dyDescent="0.3">
      <c r="A284" s="696" t="s">
        <v>4559</v>
      </c>
      <c r="B284" s="697" t="s">
        <v>3936</v>
      </c>
      <c r="C284" s="697" t="s">
        <v>3294</v>
      </c>
      <c r="D284" s="697" t="s">
        <v>4595</v>
      </c>
      <c r="E284" s="697" t="s">
        <v>4596</v>
      </c>
      <c r="F284" s="701">
        <v>4</v>
      </c>
      <c r="G284" s="701">
        <v>34146.199999999997</v>
      </c>
      <c r="H284" s="701">
        <v>2</v>
      </c>
      <c r="I284" s="701">
        <v>8536.5499999999993</v>
      </c>
      <c r="J284" s="701">
        <v>2</v>
      </c>
      <c r="K284" s="701">
        <v>17073.099999999999</v>
      </c>
      <c r="L284" s="701">
        <v>1</v>
      </c>
      <c r="M284" s="701">
        <v>8536.5499999999993</v>
      </c>
      <c r="N284" s="701">
        <v>2</v>
      </c>
      <c r="O284" s="701">
        <v>17073.099999999999</v>
      </c>
      <c r="P284" s="723">
        <v>1</v>
      </c>
      <c r="Q284" s="702">
        <v>8536.5499999999993</v>
      </c>
    </row>
    <row r="285" spans="1:17" ht="14.4" customHeight="1" x14ac:dyDescent="0.3">
      <c r="A285" s="696" t="s">
        <v>4559</v>
      </c>
      <c r="B285" s="697" t="s">
        <v>3936</v>
      </c>
      <c r="C285" s="697" t="s">
        <v>3294</v>
      </c>
      <c r="D285" s="697" t="s">
        <v>4597</v>
      </c>
      <c r="E285" s="697" t="s">
        <v>4598</v>
      </c>
      <c r="F285" s="701"/>
      <c r="G285" s="701"/>
      <c r="H285" s="701"/>
      <c r="I285" s="701"/>
      <c r="J285" s="701"/>
      <c r="K285" s="701"/>
      <c r="L285" s="701"/>
      <c r="M285" s="701"/>
      <c r="N285" s="701">
        <v>2</v>
      </c>
      <c r="O285" s="701">
        <v>2149.42</v>
      </c>
      <c r="P285" s="723"/>
      <c r="Q285" s="702">
        <v>1074.71</v>
      </c>
    </row>
    <row r="286" spans="1:17" ht="14.4" customHeight="1" x14ac:dyDescent="0.3">
      <c r="A286" s="696" t="s">
        <v>4559</v>
      </c>
      <c r="B286" s="697" t="s">
        <v>3936</v>
      </c>
      <c r="C286" s="697" t="s">
        <v>3294</v>
      </c>
      <c r="D286" s="697" t="s">
        <v>4599</v>
      </c>
      <c r="E286" s="697" t="s">
        <v>4600</v>
      </c>
      <c r="F286" s="701">
        <v>1</v>
      </c>
      <c r="G286" s="701">
        <v>11772</v>
      </c>
      <c r="H286" s="701"/>
      <c r="I286" s="701">
        <v>11772</v>
      </c>
      <c r="J286" s="701"/>
      <c r="K286" s="701"/>
      <c r="L286" s="701"/>
      <c r="M286" s="701"/>
      <c r="N286" s="701">
        <v>1</v>
      </c>
      <c r="O286" s="701">
        <v>8166.76</v>
      </c>
      <c r="P286" s="723"/>
      <c r="Q286" s="702">
        <v>8166.76</v>
      </c>
    </row>
    <row r="287" spans="1:17" ht="14.4" customHeight="1" x14ac:dyDescent="0.3">
      <c r="A287" s="696" t="s">
        <v>4559</v>
      </c>
      <c r="B287" s="697" t="s">
        <v>3936</v>
      </c>
      <c r="C287" s="697" t="s">
        <v>3294</v>
      </c>
      <c r="D287" s="697" t="s">
        <v>4601</v>
      </c>
      <c r="E287" s="697" t="s">
        <v>4602</v>
      </c>
      <c r="F287" s="701">
        <v>2</v>
      </c>
      <c r="G287" s="701">
        <v>110794.4</v>
      </c>
      <c r="H287" s="701">
        <v>0.66666666666666663</v>
      </c>
      <c r="I287" s="701">
        <v>55397.2</v>
      </c>
      <c r="J287" s="701">
        <v>3</v>
      </c>
      <c r="K287" s="701">
        <v>166191.6</v>
      </c>
      <c r="L287" s="701">
        <v>1</v>
      </c>
      <c r="M287" s="701">
        <v>55397.200000000004</v>
      </c>
      <c r="N287" s="701">
        <v>1</v>
      </c>
      <c r="O287" s="701">
        <v>55397.2</v>
      </c>
      <c r="P287" s="723">
        <v>0.33333333333333331</v>
      </c>
      <c r="Q287" s="702">
        <v>55397.2</v>
      </c>
    </row>
    <row r="288" spans="1:17" ht="14.4" customHeight="1" x14ac:dyDescent="0.3">
      <c r="A288" s="696" t="s">
        <v>4559</v>
      </c>
      <c r="B288" s="697" t="s">
        <v>3936</v>
      </c>
      <c r="C288" s="697" t="s">
        <v>3294</v>
      </c>
      <c r="D288" s="697" t="s">
        <v>4603</v>
      </c>
      <c r="E288" s="697" t="s">
        <v>4604</v>
      </c>
      <c r="F288" s="701">
        <v>4</v>
      </c>
      <c r="G288" s="701">
        <v>12013.52</v>
      </c>
      <c r="H288" s="701">
        <v>4</v>
      </c>
      <c r="I288" s="701">
        <v>3003.38</v>
      </c>
      <c r="J288" s="701">
        <v>1</v>
      </c>
      <c r="K288" s="701">
        <v>3003.38</v>
      </c>
      <c r="L288" s="701">
        <v>1</v>
      </c>
      <c r="M288" s="701">
        <v>3003.38</v>
      </c>
      <c r="N288" s="701">
        <v>2</v>
      </c>
      <c r="O288" s="701">
        <v>5271.46</v>
      </c>
      <c r="P288" s="723">
        <v>1.7551758352256457</v>
      </c>
      <c r="Q288" s="702">
        <v>2635.73</v>
      </c>
    </row>
    <row r="289" spans="1:17" ht="14.4" customHeight="1" x14ac:dyDescent="0.3">
      <c r="A289" s="696" t="s">
        <v>4559</v>
      </c>
      <c r="B289" s="697" t="s">
        <v>3936</v>
      </c>
      <c r="C289" s="697" t="s">
        <v>3294</v>
      </c>
      <c r="D289" s="697" t="s">
        <v>4605</v>
      </c>
      <c r="E289" s="697" t="s">
        <v>4606</v>
      </c>
      <c r="F289" s="701">
        <v>4</v>
      </c>
      <c r="G289" s="701">
        <v>8946</v>
      </c>
      <c r="H289" s="701">
        <v>1.3333333333333333</v>
      </c>
      <c r="I289" s="701">
        <v>2236.5</v>
      </c>
      <c r="J289" s="701">
        <v>3</v>
      </c>
      <c r="K289" s="701">
        <v>6709.5</v>
      </c>
      <c r="L289" s="701">
        <v>1</v>
      </c>
      <c r="M289" s="701">
        <v>2236.5</v>
      </c>
      <c r="N289" s="701">
        <v>6</v>
      </c>
      <c r="O289" s="701">
        <v>13419</v>
      </c>
      <c r="P289" s="723">
        <v>2</v>
      </c>
      <c r="Q289" s="702">
        <v>2236.5</v>
      </c>
    </row>
    <row r="290" spans="1:17" ht="14.4" customHeight="1" x14ac:dyDescent="0.3">
      <c r="A290" s="696" t="s">
        <v>4559</v>
      </c>
      <c r="B290" s="697" t="s">
        <v>3936</v>
      </c>
      <c r="C290" s="697" t="s">
        <v>3294</v>
      </c>
      <c r="D290" s="697" t="s">
        <v>4607</v>
      </c>
      <c r="E290" s="697" t="s">
        <v>4608</v>
      </c>
      <c r="F290" s="701"/>
      <c r="G290" s="701"/>
      <c r="H290" s="701"/>
      <c r="I290" s="701"/>
      <c r="J290" s="701"/>
      <c r="K290" s="701"/>
      <c r="L290" s="701"/>
      <c r="M290" s="701"/>
      <c r="N290" s="701">
        <v>7</v>
      </c>
      <c r="O290" s="701">
        <v>96594.44</v>
      </c>
      <c r="P290" s="723"/>
      <c r="Q290" s="702">
        <v>13799.205714285714</v>
      </c>
    </row>
    <row r="291" spans="1:17" ht="14.4" customHeight="1" x14ac:dyDescent="0.3">
      <c r="A291" s="696" t="s">
        <v>4559</v>
      </c>
      <c r="B291" s="697" t="s">
        <v>3936</v>
      </c>
      <c r="C291" s="697" t="s">
        <v>3294</v>
      </c>
      <c r="D291" s="697" t="s">
        <v>4609</v>
      </c>
      <c r="E291" s="697" t="s">
        <v>4610</v>
      </c>
      <c r="F291" s="701"/>
      <c r="G291" s="701"/>
      <c r="H291" s="701"/>
      <c r="I291" s="701"/>
      <c r="J291" s="701">
        <v>1</v>
      </c>
      <c r="K291" s="701">
        <v>3991.04</v>
      </c>
      <c r="L291" s="701">
        <v>1</v>
      </c>
      <c r="M291" s="701">
        <v>3991.04</v>
      </c>
      <c r="N291" s="701">
        <v>2</v>
      </c>
      <c r="O291" s="701">
        <v>7982.08</v>
      </c>
      <c r="P291" s="723">
        <v>2</v>
      </c>
      <c r="Q291" s="702">
        <v>3991.04</v>
      </c>
    </row>
    <row r="292" spans="1:17" ht="14.4" customHeight="1" x14ac:dyDescent="0.3">
      <c r="A292" s="696" t="s">
        <v>4559</v>
      </c>
      <c r="B292" s="697" t="s">
        <v>3936</v>
      </c>
      <c r="C292" s="697" t="s">
        <v>3294</v>
      </c>
      <c r="D292" s="697" t="s">
        <v>4611</v>
      </c>
      <c r="E292" s="697" t="s">
        <v>4612</v>
      </c>
      <c r="F292" s="701">
        <v>34</v>
      </c>
      <c r="G292" s="701">
        <v>234286.52</v>
      </c>
      <c r="H292" s="701">
        <v>0.91891891891891897</v>
      </c>
      <c r="I292" s="701">
        <v>6890.78</v>
      </c>
      <c r="J292" s="701">
        <v>37</v>
      </c>
      <c r="K292" s="701">
        <v>254958.86</v>
      </c>
      <c r="L292" s="701">
        <v>1</v>
      </c>
      <c r="M292" s="701">
        <v>6890.78</v>
      </c>
      <c r="N292" s="701">
        <v>2</v>
      </c>
      <c r="O292" s="701">
        <v>9403.7799999999988</v>
      </c>
      <c r="P292" s="723">
        <v>3.6883519168543502E-2</v>
      </c>
      <c r="Q292" s="702">
        <v>4701.8899999999994</v>
      </c>
    </row>
    <row r="293" spans="1:17" ht="14.4" customHeight="1" x14ac:dyDescent="0.3">
      <c r="A293" s="696" t="s">
        <v>4559</v>
      </c>
      <c r="B293" s="697" t="s">
        <v>3936</v>
      </c>
      <c r="C293" s="697" t="s">
        <v>3294</v>
      </c>
      <c r="D293" s="697" t="s">
        <v>3432</v>
      </c>
      <c r="E293" s="697" t="s">
        <v>3433</v>
      </c>
      <c r="F293" s="701">
        <v>1</v>
      </c>
      <c r="G293" s="701">
        <v>19196.8</v>
      </c>
      <c r="H293" s="701"/>
      <c r="I293" s="701">
        <v>19196.8</v>
      </c>
      <c r="J293" s="701"/>
      <c r="K293" s="701"/>
      <c r="L293" s="701"/>
      <c r="M293" s="701"/>
      <c r="N293" s="701"/>
      <c r="O293" s="701"/>
      <c r="P293" s="723"/>
      <c r="Q293" s="702"/>
    </row>
    <row r="294" spans="1:17" ht="14.4" customHeight="1" x14ac:dyDescent="0.3">
      <c r="A294" s="696" t="s">
        <v>4559</v>
      </c>
      <c r="B294" s="697" t="s">
        <v>3936</v>
      </c>
      <c r="C294" s="697" t="s">
        <v>3294</v>
      </c>
      <c r="D294" s="697" t="s">
        <v>4613</v>
      </c>
      <c r="E294" s="697" t="s">
        <v>4614</v>
      </c>
      <c r="F294" s="701">
        <v>3</v>
      </c>
      <c r="G294" s="701">
        <v>12413.670000000002</v>
      </c>
      <c r="H294" s="701">
        <v>3</v>
      </c>
      <c r="I294" s="701">
        <v>4137.8900000000003</v>
      </c>
      <c r="J294" s="701">
        <v>1</v>
      </c>
      <c r="K294" s="701">
        <v>4137.8900000000003</v>
      </c>
      <c r="L294" s="701">
        <v>1</v>
      </c>
      <c r="M294" s="701">
        <v>4137.8900000000003</v>
      </c>
      <c r="N294" s="701">
        <v>5</v>
      </c>
      <c r="O294" s="701">
        <v>20689.45</v>
      </c>
      <c r="P294" s="723">
        <v>5</v>
      </c>
      <c r="Q294" s="702">
        <v>4137.8900000000003</v>
      </c>
    </row>
    <row r="295" spans="1:17" ht="14.4" customHeight="1" x14ac:dyDescent="0.3">
      <c r="A295" s="696" t="s">
        <v>4559</v>
      </c>
      <c r="B295" s="697" t="s">
        <v>3936</v>
      </c>
      <c r="C295" s="697" t="s">
        <v>3294</v>
      </c>
      <c r="D295" s="697" t="s">
        <v>4615</v>
      </c>
      <c r="E295" s="697" t="s">
        <v>4616</v>
      </c>
      <c r="F295" s="701">
        <v>18</v>
      </c>
      <c r="G295" s="701">
        <v>18050.399999999998</v>
      </c>
      <c r="H295" s="701">
        <v>0.69230769230769229</v>
      </c>
      <c r="I295" s="701">
        <v>1002.7999999999998</v>
      </c>
      <c r="J295" s="701">
        <v>26</v>
      </c>
      <c r="K295" s="701">
        <v>26072.799999999999</v>
      </c>
      <c r="L295" s="701">
        <v>1</v>
      </c>
      <c r="M295" s="701">
        <v>1002.8</v>
      </c>
      <c r="N295" s="701">
        <v>23</v>
      </c>
      <c r="O295" s="701">
        <v>21418.3</v>
      </c>
      <c r="P295" s="723">
        <v>0.82148062348501116</v>
      </c>
      <c r="Q295" s="702">
        <v>931.23043478260865</v>
      </c>
    </row>
    <row r="296" spans="1:17" ht="14.4" customHeight="1" x14ac:dyDescent="0.3">
      <c r="A296" s="696" t="s">
        <v>4559</v>
      </c>
      <c r="B296" s="697" t="s">
        <v>3936</v>
      </c>
      <c r="C296" s="697" t="s">
        <v>3294</v>
      </c>
      <c r="D296" s="697" t="s">
        <v>4617</v>
      </c>
      <c r="E296" s="697" t="s">
        <v>4618</v>
      </c>
      <c r="F296" s="701">
        <v>14</v>
      </c>
      <c r="G296" s="701">
        <v>107100</v>
      </c>
      <c r="H296" s="701">
        <v>4.666666666666667</v>
      </c>
      <c r="I296" s="701">
        <v>7650</v>
      </c>
      <c r="J296" s="701">
        <v>3</v>
      </c>
      <c r="K296" s="701">
        <v>22950</v>
      </c>
      <c r="L296" s="701">
        <v>1</v>
      </c>
      <c r="M296" s="701">
        <v>7650</v>
      </c>
      <c r="N296" s="701">
        <v>9</v>
      </c>
      <c r="O296" s="701">
        <v>52628.88</v>
      </c>
      <c r="P296" s="723">
        <v>2.2931973856209149</v>
      </c>
      <c r="Q296" s="702">
        <v>5847.6533333333327</v>
      </c>
    </row>
    <row r="297" spans="1:17" ht="14.4" customHeight="1" x14ac:dyDescent="0.3">
      <c r="A297" s="696" t="s">
        <v>4559</v>
      </c>
      <c r="B297" s="697" t="s">
        <v>3936</v>
      </c>
      <c r="C297" s="697" t="s">
        <v>3294</v>
      </c>
      <c r="D297" s="697" t="s">
        <v>4619</v>
      </c>
      <c r="E297" s="697" t="s">
        <v>4620</v>
      </c>
      <c r="F297" s="701"/>
      <c r="G297" s="701"/>
      <c r="H297" s="701"/>
      <c r="I297" s="701"/>
      <c r="J297" s="701">
        <v>5</v>
      </c>
      <c r="K297" s="701">
        <v>66422.600000000006</v>
      </c>
      <c r="L297" s="701">
        <v>1</v>
      </c>
      <c r="M297" s="701">
        <v>13284.52</v>
      </c>
      <c r="N297" s="701">
        <v>18</v>
      </c>
      <c r="O297" s="701">
        <v>78044.849999999991</v>
      </c>
      <c r="P297" s="723">
        <v>1.1749743310258856</v>
      </c>
      <c r="Q297" s="702">
        <v>4335.8249999999998</v>
      </c>
    </row>
    <row r="298" spans="1:17" ht="14.4" customHeight="1" x14ac:dyDescent="0.3">
      <c r="A298" s="696" t="s">
        <v>4559</v>
      </c>
      <c r="B298" s="697" t="s">
        <v>3936</v>
      </c>
      <c r="C298" s="697" t="s">
        <v>3294</v>
      </c>
      <c r="D298" s="697" t="s">
        <v>4621</v>
      </c>
      <c r="E298" s="697" t="s">
        <v>4622</v>
      </c>
      <c r="F298" s="701">
        <v>4</v>
      </c>
      <c r="G298" s="701">
        <v>8683.8799999999992</v>
      </c>
      <c r="H298" s="701">
        <v>4</v>
      </c>
      <c r="I298" s="701">
        <v>2170.9699999999998</v>
      </c>
      <c r="J298" s="701">
        <v>1</v>
      </c>
      <c r="K298" s="701">
        <v>2170.9699999999998</v>
      </c>
      <c r="L298" s="701">
        <v>1</v>
      </c>
      <c r="M298" s="701">
        <v>2170.9699999999998</v>
      </c>
      <c r="N298" s="701">
        <v>6</v>
      </c>
      <c r="O298" s="701">
        <v>12280.92</v>
      </c>
      <c r="P298" s="723">
        <v>5.6568814861559584</v>
      </c>
      <c r="Q298" s="702">
        <v>2046.82</v>
      </c>
    </row>
    <row r="299" spans="1:17" ht="14.4" customHeight="1" x14ac:dyDescent="0.3">
      <c r="A299" s="696" t="s">
        <v>4559</v>
      </c>
      <c r="B299" s="697" t="s">
        <v>3936</v>
      </c>
      <c r="C299" s="697" t="s">
        <v>3294</v>
      </c>
      <c r="D299" s="697" t="s">
        <v>4623</v>
      </c>
      <c r="E299" s="697" t="s">
        <v>4624</v>
      </c>
      <c r="F299" s="701">
        <v>8</v>
      </c>
      <c r="G299" s="701">
        <v>6376</v>
      </c>
      <c r="H299" s="701">
        <v>1.3333333333333333</v>
      </c>
      <c r="I299" s="701">
        <v>797</v>
      </c>
      <c r="J299" s="701">
        <v>6</v>
      </c>
      <c r="K299" s="701">
        <v>4782</v>
      </c>
      <c r="L299" s="701">
        <v>1</v>
      </c>
      <c r="M299" s="701">
        <v>797</v>
      </c>
      <c r="N299" s="701">
        <v>11</v>
      </c>
      <c r="O299" s="701">
        <v>8258.36</v>
      </c>
      <c r="P299" s="723">
        <v>1.7269677959012966</v>
      </c>
      <c r="Q299" s="702">
        <v>750.7600000000001</v>
      </c>
    </row>
    <row r="300" spans="1:17" ht="14.4" customHeight="1" x14ac:dyDescent="0.3">
      <c r="A300" s="696" t="s">
        <v>4559</v>
      </c>
      <c r="B300" s="697" t="s">
        <v>3936</v>
      </c>
      <c r="C300" s="697" t="s">
        <v>3294</v>
      </c>
      <c r="D300" s="697" t="s">
        <v>4625</v>
      </c>
      <c r="E300" s="697" t="s">
        <v>4626</v>
      </c>
      <c r="F300" s="701">
        <v>1</v>
      </c>
      <c r="G300" s="701">
        <v>10072.94</v>
      </c>
      <c r="H300" s="701">
        <v>0.25</v>
      </c>
      <c r="I300" s="701">
        <v>10072.94</v>
      </c>
      <c r="J300" s="701">
        <v>4</v>
      </c>
      <c r="K300" s="701">
        <v>40291.760000000002</v>
      </c>
      <c r="L300" s="701">
        <v>1</v>
      </c>
      <c r="M300" s="701">
        <v>10072.94</v>
      </c>
      <c r="N300" s="701"/>
      <c r="O300" s="701"/>
      <c r="P300" s="723"/>
      <c r="Q300" s="702"/>
    </row>
    <row r="301" spans="1:17" ht="14.4" customHeight="1" x14ac:dyDescent="0.3">
      <c r="A301" s="696" t="s">
        <v>4559</v>
      </c>
      <c r="B301" s="697" t="s">
        <v>3936</v>
      </c>
      <c r="C301" s="697" t="s">
        <v>3294</v>
      </c>
      <c r="D301" s="697" t="s">
        <v>4627</v>
      </c>
      <c r="E301" s="697" t="s">
        <v>4628</v>
      </c>
      <c r="F301" s="701">
        <v>1</v>
      </c>
      <c r="G301" s="701">
        <v>2974.36</v>
      </c>
      <c r="H301" s="701">
        <v>1</v>
      </c>
      <c r="I301" s="701">
        <v>2974.36</v>
      </c>
      <c r="J301" s="701">
        <v>1</v>
      </c>
      <c r="K301" s="701">
        <v>2974.36</v>
      </c>
      <c r="L301" s="701">
        <v>1</v>
      </c>
      <c r="M301" s="701">
        <v>2974.36</v>
      </c>
      <c r="N301" s="701">
        <v>4</v>
      </c>
      <c r="O301" s="701">
        <v>11897.44</v>
      </c>
      <c r="P301" s="723">
        <v>4</v>
      </c>
      <c r="Q301" s="702">
        <v>2974.36</v>
      </c>
    </row>
    <row r="302" spans="1:17" ht="14.4" customHeight="1" x14ac:dyDescent="0.3">
      <c r="A302" s="696" t="s">
        <v>4559</v>
      </c>
      <c r="B302" s="697" t="s">
        <v>3936</v>
      </c>
      <c r="C302" s="697" t="s">
        <v>3294</v>
      </c>
      <c r="D302" s="697" t="s">
        <v>3456</v>
      </c>
      <c r="E302" s="697" t="s">
        <v>3457</v>
      </c>
      <c r="F302" s="701"/>
      <c r="G302" s="701"/>
      <c r="H302" s="701"/>
      <c r="I302" s="701"/>
      <c r="J302" s="701">
        <v>2</v>
      </c>
      <c r="K302" s="701">
        <v>6720</v>
      </c>
      <c r="L302" s="701">
        <v>1</v>
      </c>
      <c r="M302" s="701">
        <v>3360</v>
      </c>
      <c r="N302" s="701">
        <v>4</v>
      </c>
      <c r="O302" s="701">
        <v>13440</v>
      </c>
      <c r="P302" s="723">
        <v>2</v>
      </c>
      <c r="Q302" s="702">
        <v>3360</v>
      </c>
    </row>
    <row r="303" spans="1:17" ht="14.4" customHeight="1" x14ac:dyDescent="0.3">
      <c r="A303" s="696" t="s">
        <v>4559</v>
      </c>
      <c r="B303" s="697" t="s">
        <v>3936</v>
      </c>
      <c r="C303" s="697" t="s">
        <v>3294</v>
      </c>
      <c r="D303" s="697" t="s">
        <v>4629</v>
      </c>
      <c r="E303" s="697" t="s">
        <v>4630</v>
      </c>
      <c r="F303" s="701">
        <v>9</v>
      </c>
      <c r="G303" s="701">
        <v>47333.07</v>
      </c>
      <c r="H303" s="701">
        <v>0.6923076923076924</v>
      </c>
      <c r="I303" s="701">
        <v>5259.23</v>
      </c>
      <c r="J303" s="701">
        <v>13</v>
      </c>
      <c r="K303" s="701">
        <v>68369.989999999991</v>
      </c>
      <c r="L303" s="701">
        <v>1</v>
      </c>
      <c r="M303" s="701">
        <v>5259.23</v>
      </c>
      <c r="N303" s="701">
        <v>15</v>
      </c>
      <c r="O303" s="701">
        <v>53099.8</v>
      </c>
      <c r="P303" s="723">
        <v>0.77665361659406429</v>
      </c>
      <c r="Q303" s="702">
        <v>3539.9866666666667</v>
      </c>
    </row>
    <row r="304" spans="1:17" ht="14.4" customHeight="1" x14ac:dyDescent="0.3">
      <c r="A304" s="696" t="s">
        <v>4559</v>
      </c>
      <c r="B304" s="697" t="s">
        <v>3936</v>
      </c>
      <c r="C304" s="697" t="s">
        <v>3294</v>
      </c>
      <c r="D304" s="697" t="s">
        <v>4631</v>
      </c>
      <c r="E304" s="697" t="s">
        <v>4632</v>
      </c>
      <c r="F304" s="701">
        <v>1</v>
      </c>
      <c r="G304" s="701">
        <v>1497.44</v>
      </c>
      <c r="H304" s="701"/>
      <c r="I304" s="701">
        <v>1497.44</v>
      </c>
      <c r="J304" s="701"/>
      <c r="K304" s="701"/>
      <c r="L304" s="701"/>
      <c r="M304" s="701"/>
      <c r="N304" s="701">
        <v>1</v>
      </c>
      <c r="O304" s="701">
        <v>1336.72</v>
      </c>
      <c r="P304" s="723"/>
      <c r="Q304" s="702">
        <v>1336.72</v>
      </c>
    </row>
    <row r="305" spans="1:17" ht="14.4" customHeight="1" x14ac:dyDescent="0.3">
      <c r="A305" s="696" t="s">
        <v>4559</v>
      </c>
      <c r="B305" s="697" t="s">
        <v>3936</v>
      </c>
      <c r="C305" s="697" t="s">
        <v>3294</v>
      </c>
      <c r="D305" s="697" t="s">
        <v>4633</v>
      </c>
      <c r="E305" s="697" t="s">
        <v>4634</v>
      </c>
      <c r="F305" s="701"/>
      <c r="G305" s="701"/>
      <c r="H305" s="701"/>
      <c r="I305" s="701"/>
      <c r="J305" s="701"/>
      <c r="K305" s="701"/>
      <c r="L305" s="701"/>
      <c r="M305" s="701"/>
      <c r="N305" s="701">
        <v>1</v>
      </c>
      <c r="O305" s="701">
        <v>40481.4</v>
      </c>
      <c r="P305" s="723"/>
      <c r="Q305" s="702">
        <v>40481.4</v>
      </c>
    </row>
    <row r="306" spans="1:17" ht="14.4" customHeight="1" x14ac:dyDescent="0.3">
      <c r="A306" s="696" t="s">
        <v>4559</v>
      </c>
      <c r="B306" s="697" t="s">
        <v>3936</v>
      </c>
      <c r="C306" s="697" t="s">
        <v>3294</v>
      </c>
      <c r="D306" s="697" t="s">
        <v>4635</v>
      </c>
      <c r="E306" s="697" t="s">
        <v>4636</v>
      </c>
      <c r="F306" s="701"/>
      <c r="G306" s="701"/>
      <c r="H306" s="701"/>
      <c r="I306" s="701"/>
      <c r="J306" s="701">
        <v>1</v>
      </c>
      <c r="K306" s="701">
        <v>27920</v>
      </c>
      <c r="L306" s="701">
        <v>1</v>
      </c>
      <c r="M306" s="701">
        <v>27920</v>
      </c>
      <c r="N306" s="701"/>
      <c r="O306" s="701"/>
      <c r="P306" s="723"/>
      <c r="Q306" s="702"/>
    </row>
    <row r="307" spans="1:17" ht="14.4" customHeight="1" x14ac:dyDescent="0.3">
      <c r="A307" s="696" t="s">
        <v>4559</v>
      </c>
      <c r="B307" s="697" t="s">
        <v>3936</v>
      </c>
      <c r="C307" s="697" t="s">
        <v>3294</v>
      </c>
      <c r="D307" s="697" t="s">
        <v>4637</v>
      </c>
      <c r="E307" s="697" t="s">
        <v>4638</v>
      </c>
      <c r="F307" s="701">
        <v>1</v>
      </c>
      <c r="G307" s="701">
        <v>4041.82</v>
      </c>
      <c r="H307" s="701">
        <v>1</v>
      </c>
      <c r="I307" s="701">
        <v>4041.82</v>
      </c>
      <c r="J307" s="701">
        <v>1</v>
      </c>
      <c r="K307" s="701">
        <v>4041.82</v>
      </c>
      <c r="L307" s="701">
        <v>1</v>
      </c>
      <c r="M307" s="701">
        <v>4041.82</v>
      </c>
      <c r="N307" s="701">
        <v>1</v>
      </c>
      <c r="O307" s="701">
        <v>3761.91</v>
      </c>
      <c r="P307" s="723">
        <v>0.93074654487334907</v>
      </c>
      <c r="Q307" s="702">
        <v>3761.91</v>
      </c>
    </row>
    <row r="308" spans="1:17" ht="14.4" customHeight="1" x14ac:dyDescent="0.3">
      <c r="A308" s="696" t="s">
        <v>4559</v>
      </c>
      <c r="B308" s="697" t="s">
        <v>3936</v>
      </c>
      <c r="C308" s="697" t="s">
        <v>3294</v>
      </c>
      <c r="D308" s="697" t="s">
        <v>4639</v>
      </c>
      <c r="E308" s="697" t="s">
        <v>4640</v>
      </c>
      <c r="F308" s="701">
        <v>2</v>
      </c>
      <c r="G308" s="701">
        <v>1211.3</v>
      </c>
      <c r="H308" s="701">
        <v>2</v>
      </c>
      <c r="I308" s="701">
        <v>605.65</v>
      </c>
      <c r="J308" s="701">
        <v>1</v>
      </c>
      <c r="K308" s="701">
        <v>605.65</v>
      </c>
      <c r="L308" s="701">
        <v>1</v>
      </c>
      <c r="M308" s="701">
        <v>605.65</v>
      </c>
      <c r="N308" s="701">
        <v>5</v>
      </c>
      <c r="O308" s="701">
        <v>2753.6000000000004</v>
      </c>
      <c r="P308" s="723">
        <v>4.5465202674812195</v>
      </c>
      <c r="Q308" s="702">
        <v>550.72</v>
      </c>
    </row>
    <row r="309" spans="1:17" ht="14.4" customHeight="1" x14ac:dyDescent="0.3">
      <c r="A309" s="696" t="s">
        <v>4559</v>
      </c>
      <c r="B309" s="697" t="s">
        <v>3936</v>
      </c>
      <c r="C309" s="697" t="s">
        <v>3294</v>
      </c>
      <c r="D309" s="697" t="s">
        <v>4641</v>
      </c>
      <c r="E309" s="697" t="s">
        <v>4642</v>
      </c>
      <c r="F309" s="701"/>
      <c r="G309" s="701"/>
      <c r="H309" s="701"/>
      <c r="I309" s="701"/>
      <c r="J309" s="701"/>
      <c r="K309" s="701"/>
      <c r="L309" s="701"/>
      <c r="M309" s="701"/>
      <c r="N309" s="701">
        <v>2</v>
      </c>
      <c r="O309" s="701">
        <v>34763.980000000003</v>
      </c>
      <c r="P309" s="723"/>
      <c r="Q309" s="702">
        <v>17381.990000000002</v>
      </c>
    </row>
    <row r="310" spans="1:17" ht="14.4" customHeight="1" x14ac:dyDescent="0.3">
      <c r="A310" s="696" t="s">
        <v>4559</v>
      </c>
      <c r="B310" s="697" t="s">
        <v>3936</v>
      </c>
      <c r="C310" s="697" t="s">
        <v>3294</v>
      </c>
      <c r="D310" s="697" t="s">
        <v>4643</v>
      </c>
      <c r="E310" s="697" t="s">
        <v>4644</v>
      </c>
      <c r="F310" s="701">
        <v>3</v>
      </c>
      <c r="G310" s="701">
        <v>2493.48</v>
      </c>
      <c r="H310" s="701">
        <v>0.4285714285714286</v>
      </c>
      <c r="I310" s="701">
        <v>831.16</v>
      </c>
      <c r="J310" s="701">
        <v>7</v>
      </c>
      <c r="K310" s="701">
        <v>5818.12</v>
      </c>
      <c r="L310" s="701">
        <v>1</v>
      </c>
      <c r="M310" s="701">
        <v>831.16</v>
      </c>
      <c r="N310" s="701">
        <v>6</v>
      </c>
      <c r="O310" s="701">
        <v>4986.96</v>
      </c>
      <c r="P310" s="723">
        <v>0.85714285714285721</v>
      </c>
      <c r="Q310" s="702">
        <v>831.16</v>
      </c>
    </row>
    <row r="311" spans="1:17" ht="14.4" customHeight="1" x14ac:dyDescent="0.3">
      <c r="A311" s="696" t="s">
        <v>4559</v>
      </c>
      <c r="B311" s="697" t="s">
        <v>3936</v>
      </c>
      <c r="C311" s="697" t="s">
        <v>3294</v>
      </c>
      <c r="D311" s="697" t="s">
        <v>4645</v>
      </c>
      <c r="E311" s="697" t="s">
        <v>4644</v>
      </c>
      <c r="F311" s="701">
        <v>10</v>
      </c>
      <c r="G311" s="701">
        <v>8880.5999999999985</v>
      </c>
      <c r="H311" s="701">
        <v>2</v>
      </c>
      <c r="I311" s="701">
        <v>888.05999999999983</v>
      </c>
      <c r="J311" s="701">
        <v>5</v>
      </c>
      <c r="K311" s="701">
        <v>4440.2999999999993</v>
      </c>
      <c r="L311" s="701">
        <v>1</v>
      </c>
      <c r="M311" s="701">
        <v>888.05999999999983</v>
      </c>
      <c r="N311" s="701">
        <v>3</v>
      </c>
      <c r="O311" s="701">
        <v>2664.18</v>
      </c>
      <c r="P311" s="723">
        <v>0.60000000000000009</v>
      </c>
      <c r="Q311" s="702">
        <v>888.06</v>
      </c>
    </row>
    <row r="312" spans="1:17" ht="14.4" customHeight="1" x14ac:dyDescent="0.3">
      <c r="A312" s="696" t="s">
        <v>4559</v>
      </c>
      <c r="B312" s="697" t="s">
        <v>3936</v>
      </c>
      <c r="C312" s="697" t="s">
        <v>3294</v>
      </c>
      <c r="D312" s="697" t="s">
        <v>4646</v>
      </c>
      <c r="E312" s="697" t="s">
        <v>4647</v>
      </c>
      <c r="F312" s="701">
        <v>3</v>
      </c>
      <c r="G312" s="701">
        <v>2664.18</v>
      </c>
      <c r="H312" s="701"/>
      <c r="I312" s="701">
        <v>888.06</v>
      </c>
      <c r="J312" s="701"/>
      <c r="K312" s="701"/>
      <c r="L312" s="701"/>
      <c r="M312" s="701"/>
      <c r="N312" s="701"/>
      <c r="O312" s="701"/>
      <c r="P312" s="723"/>
      <c r="Q312" s="702"/>
    </row>
    <row r="313" spans="1:17" ht="14.4" customHeight="1" x14ac:dyDescent="0.3">
      <c r="A313" s="696" t="s">
        <v>4559</v>
      </c>
      <c r="B313" s="697" t="s">
        <v>3936</v>
      </c>
      <c r="C313" s="697" t="s">
        <v>3294</v>
      </c>
      <c r="D313" s="697" t="s">
        <v>4648</v>
      </c>
      <c r="E313" s="697" t="s">
        <v>4649</v>
      </c>
      <c r="F313" s="701"/>
      <c r="G313" s="701"/>
      <c r="H313" s="701"/>
      <c r="I313" s="701"/>
      <c r="J313" s="701"/>
      <c r="K313" s="701"/>
      <c r="L313" s="701"/>
      <c r="M313" s="701"/>
      <c r="N313" s="701">
        <v>2</v>
      </c>
      <c r="O313" s="701">
        <v>1662.32</v>
      </c>
      <c r="P313" s="723"/>
      <c r="Q313" s="702">
        <v>831.16</v>
      </c>
    </row>
    <row r="314" spans="1:17" ht="14.4" customHeight="1" x14ac:dyDescent="0.3">
      <c r="A314" s="696" t="s">
        <v>4559</v>
      </c>
      <c r="B314" s="697" t="s">
        <v>3936</v>
      </c>
      <c r="C314" s="697" t="s">
        <v>3294</v>
      </c>
      <c r="D314" s="697" t="s">
        <v>4650</v>
      </c>
      <c r="E314" s="697" t="s">
        <v>4651</v>
      </c>
      <c r="F314" s="701">
        <v>2</v>
      </c>
      <c r="G314" s="701">
        <v>2187.7600000000002</v>
      </c>
      <c r="H314" s="701"/>
      <c r="I314" s="701">
        <v>1093.8800000000001</v>
      </c>
      <c r="J314" s="701"/>
      <c r="K314" s="701"/>
      <c r="L314" s="701"/>
      <c r="M314" s="701"/>
      <c r="N314" s="701"/>
      <c r="O314" s="701"/>
      <c r="P314" s="723"/>
      <c r="Q314" s="702"/>
    </row>
    <row r="315" spans="1:17" ht="14.4" customHeight="1" x14ac:dyDescent="0.3">
      <c r="A315" s="696" t="s">
        <v>4559</v>
      </c>
      <c r="B315" s="697" t="s">
        <v>3936</v>
      </c>
      <c r="C315" s="697" t="s">
        <v>3294</v>
      </c>
      <c r="D315" s="697" t="s">
        <v>4652</v>
      </c>
      <c r="E315" s="697" t="s">
        <v>4653</v>
      </c>
      <c r="F315" s="701">
        <v>3</v>
      </c>
      <c r="G315" s="701">
        <v>66000</v>
      </c>
      <c r="H315" s="701"/>
      <c r="I315" s="701">
        <v>22000</v>
      </c>
      <c r="J315" s="701"/>
      <c r="K315" s="701"/>
      <c r="L315" s="701"/>
      <c r="M315" s="701"/>
      <c r="N315" s="701"/>
      <c r="O315" s="701"/>
      <c r="P315" s="723"/>
      <c r="Q315" s="702"/>
    </row>
    <row r="316" spans="1:17" ht="14.4" customHeight="1" x14ac:dyDescent="0.3">
      <c r="A316" s="696" t="s">
        <v>4559</v>
      </c>
      <c r="B316" s="697" t="s">
        <v>3936</v>
      </c>
      <c r="C316" s="697" t="s">
        <v>3294</v>
      </c>
      <c r="D316" s="697" t="s">
        <v>4654</v>
      </c>
      <c r="E316" s="697" t="s">
        <v>4655</v>
      </c>
      <c r="F316" s="701">
        <v>1</v>
      </c>
      <c r="G316" s="701">
        <v>1312.14</v>
      </c>
      <c r="H316" s="701">
        <v>0.125</v>
      </c>
      <c r="I316" s="701">
        <v>1312.14</v>
      </c>
      <c r="J316" s="701">
        <v>8</v>
      </c>
      <c r="K316" s="701">
        <v>10497.12</v>
      </c>
      <c r="L316" s="701">
        <v>1</v>
      </c>
      <c r="M316" s="701">
        <v>1312.14</v>
      </c>
      <c r="N316" s="701">
        <v>2</v>
      </c>
      <c r="O316" s="701">
        <v>2624.28</v>
      </c>
      <c r="P316" s="723">
        <v>0.25</v>
      </c>
      <c r="Q316" s="702">
        <v>1312.14</v>
      </c>
    </row>
    <row r="317" spans="1:17" ht="14.4" customHeight="1" x14ac:dyDescent="0.3">
      <c r="A317" s="696" t="s">
        <v>4559</v>
      </c>
      <c r="B317" s="697" t="s">
        <v>3936</v>
      </c>
      <c r="C317" s="697" t="s">
        <v>3294</v>
      </c>
      <c r="D317" s="697" t="s">
        <v>4656</v>
      </c>
      <c r="E317" s="697" t="s">
        <v>4657</v>
      </c>
      <c r="F317" s="701">
        <v>22</v>
      </c>
      <c r="G317" s="701">
        <v>80180.760000000009</v>
      </c>
      <c r="H317" s="701">
        <v>1.1578947368421053</v>
      </c>
      <c r="I317" s="701">
        <v>3644.5800000000004</v>
      </c>
      <c r="J317" s="701">
        <v>19</v>
      </c>
      <c r="K317" s="701">
        <v>69247.02</v>
      </c>
      <c r="L317" s="701">
        <v>1</v>
      </c>
      <c r="M317" s="701">
        <v>3644.5800000000004</v>
      </c>
      <c r="N317" s="701">
        <v>31</v>
      </c>
      <c r="O317" s="701">
        <v>104631.42000000001</v>
      </c>
      <c r="P317" s="723">
        <v>1.5109880540707745</v>
      </c>
      <c r="Q317" s="702">
        <v>3375.2070967741938</v>
      </c>
    </row>
    <row r="318" spans="1:17" ht="14.4" customHeight="1" x14ac:dyDescent="0.3">
      <c r="A318" s="696" t="s">
        <v>4559</v>
      </c>
      <c r="B318" s="697" t="s">
        <v>3936</v>
      </c>
      <c r="C318" s="697" t="s">
        <v>3294</v>
      </c>
      <c r="D318" s="697" t="s">
        <v>4658</v>
      </c>
      <c r="E318" s="697" t="s">
        <v>4659</v>
      </c>
      <c r="F318" s="701">
        <v>26</v>
      </c>
      <c r="G318" s="701">
        <v>29804.58</v>
      </c>
      <c r="H318" s="701">
        <v>0.83870967741935498</v>
      </c>
      <c r="I318" s="701">
        <v>1146.3300000000002</v>
      </c>
      <c r="J318" s="701">
        <v>31</v>
      </c>
      <c r="K318" s="701">
        <v>35536.229999999996</v>
      </c>
      <c r="L318" s="701">
        <v>1</v>
      </c>
      <c r="M318" s="701">
        <v>1146.33</v>
      </c>
      <c r="N318" s="701">
        <v>21</v>
      </c>
      <c r="O318" s="701">
        <v>22809.57</v>
      </c>
      <c r="P318" s="723">
        <v>0.64186803158354166</v>
      </c>
      <c r="Q318" s="702">
        <v>1086.17</v>
      </c>
    </row>
    <row r="319" spans="1:17" ht="14.4" customHeight="1" x14ac:dyDescent="0.3">
      <c r="A319" s="696" t="s">
        <v>4559</v>
      </c>
      <c r="B319" s="697" t="s">
        <v>3936</v>
      </c>
      <c r="C319" s="697" t="s">
        <v>3294</v>
      </c>
      <c r="D319" s="697" t="s">
        <v>4660</v>
      </c>
      <c r="E319" s="697" t="s">
        <v>4661</v>
      </c>
      <c r="F319" s="701"/>
      <c r="G319" s="701"/>
      <c r="H319" s="701"/>
      <c r="I319" s="701"/>
      <c r="J319" s="701"/>
      <c r="K319" s="701"/>
      <c r="L319" s="701"/>
      <c r="M319" s="701"/>
      <c r="N319" s="701">
        <v>2</v>
      </c>
      <c r="O319" s="701">
        <v>160000</v>
      </c>
      <c r="P319" s="723"/>
      <c r="Q319" s="702">
        <v>80000</v>
      </c>
    </row>
    <row r="320" spans="1:17" ht="14.4" customHeight="1" x14ac:dyDescent="0.3">
      <c r="A320" s="696" t="s">
        <v>4559</v>
      </c>
      <c r="B320" s="697" t="s">
        <v>3936</v>
      </c>
      <c r="C320" s="697" t="s">
        <v>3294</v>
      </c>
      <c r="D320" s="697" t="s">
        <v>4662</v>
      </c>
      <c r="E320" s="697" t="s">
        <v>4663</v>
      </c>
      <c r="F320" s="701">
        <v>12</v>
      </c>
      <c r="G320" s="701">
        <v>4309.2</v>
      </c>
      <c r="H320" s="701">
        <v>2.4</v>
      </c>
      <c r="I320" s="701">
        <v>359.09999999999997</v>
      </c>
      <c r="J320" s="701">
        <v>5</v>
      </c>
      <c r="K320" s="701">
        <v>1795.5</v>
      </c>
      <c r="L320" s="701">
        <v>1</v>
      </c>
      <c r="M320" s="701">
        <v>359.1</v>
      </c>
      <c r="N320" s="701">
        <v>9</v>
      </c>
      <c r="O320" s="701">
        <v>3231.9000000000005</v>
      </c>
      <c r="P320" s="723">
        <v>1.8000000000000003</v>
      </c>
      <c r="Q320" s="702">
        <v>359.10000000000008</v>
      </c>
    </row>
    <row r="321" spans="1:17" ht="14.4" customHeight="1" x14ac:dyDescent="0.3">
      <c r="A321" s="696" t="s">
        <v>4559</v>
      </c>
      <c r="B321" s="697" t="s">
        <v>3936</v>
      </c>
      <c r="C321" s="697" t="s">
        <v>3294</v>
      </c>
      <c r="D321" s="697" t="s">
        <v>4664</v>
      </c>
      <c r="E321" s="697" t="s">
        <v>4665</v>
      </c>
      <c r="F321" s="701">
        <v>5</v>
      </c>
      <c r="G321" s="701">
        <v>84158.45</v>
      </c>
      <c r="H321" s="701">
        <v>0.83333333333333348</v>
      </c>
      <c r="I321" s="701">
        <v>16831.689999999999</v>
      </c>
      <c r="J321" s="701">
        <v>6</v>
      </c>
      <c r="K321" s="701">
        <v>100990.13999999998</v>
      </c>
      <c r="L321" s="701">
        <v>1</v>
      </c>
      <c r="M321" s="701">
        <v>16831.689999999999</v>
      </c>
      <c r="N321" s="701">
        <v>6</v>
      </c>
      <c r="O321" s="701">
        <v>90706.18</v>
      </c>
      <c r="P321" s="723">
        <v>0.89816867270408784</v>
      </c>
      <c r="Q321" s="702">
        <v>15117.696666666665</v>
      </c>
    </row>
    <row r="322" spans="1:17" ht="14.4" customHeight="1" x14ac:dyDescent="0.3">
      <c r="A322" s="696" t="s">
        <v>4559</v>
      </c>
      <c r="B322" s="697" t="s">
        <v>3936</v>
      </c>
      <c r="C322" s="697" t="s">
        <v>3294</v>
      </c>
      <c r="D322" s="697" t="s">
        <v>4666</v>
      </c>
      <c r="E322" s="697" t="s">
        <v>4667</v>
      </c>
      <c r="F322" s="701"/>
      <c r="G322" s="701"/>
      <c r="H322" s="701"/>
      <c r="I322" s="701"/>
      <c r="J322" s="701">
        <v>1</v>
      </c>
      <c r="K322" s="701">
        <v>10645.01</v>
      </c>
      <c r="L322" s="701">
        <v>1</v>
      </c>
      <c r="M322" s="701">
        <v>10645.01</v>
      </c>
      <c r="N322" s="701"/>
      <c r="O322" s="701"/>
      <c r="P322" s="723"/>
      <c r="Q322" s="702"/>
    </row>
    <row r="323" spans="1:17" ht="14.4" customHeight="1" x14ac:dyDescent="0.3">
      <c r="A323" s="696" t="s">
        <v>4559</v>
      </c>
      <c r="B323" s="697" t="s">
        <v>3936</v>
      </c>
      <c r="C323" s="697" t="s">
        <v>3294</v>
      </c>
      <c r="D323" s="697" t="s">
        <v>4668</v>
      </c>
      <c r="E323" s="697" t="s">
        <v>4669</v>
      </c>
      <c r="F323" s="701">
        <v>3</v>
      </c>
      <c r="G323" s="701">
        <v>15602.04</v>
      </c>
      <c r="H323" s="701">
        <v>3</v>
      </c>
      <c r="I323" s="701">
        <v>5200.68</v>
      </c>
      <c r="J323" s="701">
        <v>1</v>
      </c>
      <c r="K323" s="701">
        <v>5200.68</v>
      </c>
      <c r="L323" s="701">
        <v>1</v>
      </c>
      <c r="M323" s="701">
        <v>5200.68</v>
      </c>
      <c r="N323" s="701">
        <v>0</v>
      </c>
      <c r="O323" s="701">
        <v>0</v>
      </c>
      <c r="P323" s="723">
        <v>0</v>
      </c>
      <c r="Q323" s="702"/>
    </row>
    <row r="324" spans="1:17" ht="14.4" customHeight="1" x14ac:dyDescent="0.3">
      <c r="A324" s="696" t="s">
        <v>4559</v>
      </c>
      <c r="B324" s="697" t="s">
        <v>3936</v>
      </c>
      <c r="C324" s="697" t="s">
        <v>3294</v>
      </c>
      <c r="D324" s="697" t="s">
        <v>4670</v>
      </c>
      <c r="E324" s="697" t="s">
        <v>4671</v>
      </c>
      <c r="F324" s="701">
        <v>2</v>
      </c>
      <c r="G324" s="701">
        <v>51486.54</v>
      </c>
      <c r="H324" s="701"/>
      <c r="I324" s="701">
        <v>25743.27</v>
      </c>
      <c r="J324" s="701"/>
      <c r="K324" s="701"/>
      <c r="L324" s="701"/>
      <c r="M324" s="701"/>
      <c r="N324" s="701"/>
      <c r="O324" s="701"/>
      <c r="P324" s="723"/>
      <c r="Q324" s="702"/>
    </row>
    <row r="325" spans="1:17" ht="14.4" customHeight="1" x14ac:dyDescent="0.3">
      <c r="A325" s="696" t="s">
        <v>4559</v>
      </c>
      <c r="B325" s="697" t="s">
        <v>3936</v>
      </c>
      <c r="C325" s="697" t="s">
        <v>3294</v>
      </c>
      <c r="D325" s="697" t="s">
        <v>4672</v>
      </c>
      <c r="E325" s="697" t="s">
        <v>4673</v>
      </c>
      <c r="F325" s="701">
        <v>17</v>
      </c>
      <c r="G325" s="701">
        <v>111981.21</v>
      </c>
      <c r="H325" s="701">
        <v>1.0625</v>
      </c>
      <c r="I325" s="701">
        <v>6587.13</v>
      </c>
      <c r="J325" s="701">
        <v>16</v>
      </c>
      <c r="K325" s="701">
        <v>105394.08000000002</v>
      </c>
      <c r="L325" s="701">
        <v>1</v>
      </c>
      <c r="M325" s="701">
        <v>6587.130000000001</v>
      </c>
      <c r="N325" s="701">
        <v>15</v>
      </c>
      <c r="O325" s="701">
        <v>66018.670000000013</v>
      </c>
      <c r="P325" s="723">
        <v>0.62639827588039099</v>
      </c>
      <c r="Q325" s="702">
        <v>4401.2446666666674</v>
      </c>
    </row>
    <row r="326" spans="1:17" ht="14.4" customHeight="1" x14ac:dyDescent="0.3">
      <c r="A326" s="696" t="s">
        <v>4559</v>
      </c>
      <c r="B326" s="697" t="s">
        <v>3936</v>
      </c>
      <c r="C326" s="697" t="s">
        <v>3294</v>
      </c>
      <c r="D326" s="697" t="s">
        <v>4674</v>
      </c>
      <c r="E326" s="697" t="s">
        <v>4675</v>
      </c>
      <c r="F326" s="701">
        <v>4</v>
      </c>
      <c r="G326" s="701">
        <v>7366.48</v>
      </c>
      <c r="H326" s="701">
        <v>0.66666666666666663</v>
      </c>
      <c r="I326" s="701">
        <v>1841.62</v>
      </c>
      <c r="J326" s="701">
        <v>6</v>
      </c>
      <c r="K326" s="701">
        <v>11049.72</v>
      </c>
      <c r="L326" s="701">
        <v>1</v>
      </c>
      <c r="M326" s="701">
        <v>1841.62</v>
      </c>
      <c r="N326" s="701">
        <v>11</v>
      </c>
      <c r="O326" s="701">
        <v>19220.84</v>
      </c>
      <c r="P326" s="723">
        <v>1.7394866114254479</v>
      </c>
      <c r="Q326" s="702">
        <v>1747.3490909090908</v>
      </c>
    </row>
    <row r="327" spans="1:17" ht="14.4" customHeight="1" x14ac:dyDescent="0.3">
      <c r="A327" s="696" t="s">
        <v>4559</v>
      </c>
      <c r="B327" s="697" t="s">
        <v>3936</v>
      </c>
      <c r="C327" s="697" t="s">
        <v>3294</v>
      </c>
      <c r="D327" s="697" t="s">
        <v>4676</v>
      </c>
      <c r="E327" s="697" t="s">
        <v>4677</v>
      </c>
      <c r="F327" s="701"/>
      <c r="G327" s="701"/>
      <c r="H327" s="701"/>
      <c r="I327" s="701"/>
      <c r="J327" s="701">
        <v>7</v>
      </c>
      <c r="K327" s="701">
        <v>177127.02000000002</v>
      </c>
      <c r="L327" s="701">
        <v>1</v>
      </c>
      <c r="M327" s="701">
        <v>25303.860000000004</v>
      </c>
      <c r="N327" s="701">
        <v>2</v>
      </c>
      <c r="O327" s="701">
        <v>23232</v>
      </c>
      <c r="P327" s="723">
        <v>0.13116011323399443</v>
      </c>
      <c r="Q327" s="702">
        <v>11616</v>
      </c>
    </row>
    <row r="328" spans="1:17" ht="14.4" customHeight="1" x14ac:dyDescent="0.3">
      <c r="A328" s="696" t="s">
        <v>4559</v>
      </c>
      <c r="B328" s="697" t="s">
        <v>3936</v>
      </c>
      <c r="C328" s="697" t="s">
        <v>3294</v>
      </c>
      <c r="D328" s="697" t="s">
        <v>4678</v>
      </c>
      <c r="E328" s="697" t="s">
        <v>4679</v>
      </c>
      <c r="F328" s="701"/>
      <c r="G328" s="701"/>
      <c r="H328" s="701"/>
      <c r="I328" s="701"/>
      <c r="J328" s="701"/>
      <c r="K328" s="701"/>
      <c r="L328" s="701"/>
      <c r="M328" s="701"/>
      <c r="N328" s="701">
        <v>1</v>
      </c>
      <c r="O328" s="701">
        <v>20300.7</v>
      </c>
      <c r="P328" s="723"/>
      <c r="Q328" s="702">
        <v>20300.7</v>
      </c>
    </row>
    <row r="329" spans="1:17" ht="14.4" customHeight="1" x14ac:dyDescent="0.3">
      <c r="A329" s="696" t="s">
        <v>4559</v>
      </c>
      <c r="B329" s="697" t="s">
        <v>3936</v>
      </c>
      <c r="C329" s="697" t="s">
        <v>3294</v>
      </c>
      <c r="D329" s="697" t="s">
        <v>4680</v>
      </c>
      <c r="E329" s="697" t="s">
        <v>4681</v>
      </c>
      <c r="F329" s="701"/>
      <c r="G329" s="701"/>
      <c r="H329" s="701"/>
      <c r="I329" s="701"/>
      <c r="J329" s="701">
        <v>1</v>
      </c>
      <c r="K329" s="701">
        <v>216229.87</v>
      </c>
      <c r="L329" s="701">
        <v>1</v>
      </c>
      <c r="M329" s="701">
        <v>216229.87</v>
      </c>
      <c r="N329" s="701"/>
      <c r="O329" s="701"/>
      <c r="P329" s="723"/>
      <c r="Q329" s="702"/>
    </row>
    <row r="330" spans="1:17" ht="14.4" customHeight="1" x14ac:dyDescent="0.3">
      <c r="A330" s="696" t="s">
        <v>4559</v>
      </c>
      <c r="B330" s="697" t="s">
        <v>3936</v>
      </c>
      <c r="C330" s="697" t="s">
        <v>3294</v>
      </c>
      <c r="D330" s="697" t="s">
        <v>4682</v>
      </c>
      <c r="E330" s="697" t="s">
        <v>4683</v>
      </c>
      <c r="F330" s="701"/>
      <c r="G330" s="701"/>
      <c r="H330" s="701"/>
      <c r="I330" s="701"/>
      <c r="J330" s="701">
        <v>1</v>
      </c>
      <c r="K330" s="701">
        <v>104233</v>
      </c>
      <c r="L330" s="701">
        <v>1</v>
      </c>
      <c r="M330" s="701">
        <v>104233</v>
      </c>
      <c r="N330" s="701"/>
      <c r="O330" s="701"/>
      <c r="P330" s="723"/>
      <c r="Q330" s="702"/>
    </row>
    <row r="331" spans="1:17" ht="14.4" customHeight="1" x14ac:dyDescent="0.3">
      <c r="A331" s="696" t="s">
        <v>4559</v>
      </c>
      <c r="B331" s="697" t="s">
        <v>3936</v>
      </c>
      <c r="C331" s="697" t="s">
        <v>3294</v>
      </c>
      <c r="D331" s="697" t="s">
        <v>4684</v>
      </c>
      <c r="E331" s="697" t="s">
        <v>4685</v>
      </c>
      <c r="F331" s="701"/>
      <c r="G331" s="701"/>
      <c r="H331" s="701"/>
      <c r="I331" s="701"/>
      <c r="J331" s="701">
        <v>7</v>
      </c>
      <c r="K331" s="701">
        <v>442745.44999999995</v>
      </c>
      <c r="L331" s="701">
        <v>1</v>
      </c>
      <c r="M331" s="701">
        <v>63249.349999999991</v>
      </c>
      <c r="N331" s="701"/>
      <c r="O331" s="701"/>
      <c r="P331" s="723"/>
      <c r="Q331" s="702"/>
    </row>
    <row r="332" spans="1:17" ht="14.4" customHeight="1" x14ac:dyDescent="0.3">
      <c r="A332" s="696" t="s">
        <v>4559</v>
      </c>
      <c r="B332" s="697" t="s">
        <v>3936</v>
      </c>
      <c r="C332" s="697" t="s">
        <v>3294</v>
      </c>
      <c r="D332" s="697" t="s">
        <v>4686</v>
      </c>
      <c r="E332" s="697" t="s">
        <v>4687</v>
      </c>
      <c r="F332" s="701"/>
      <c r="G332" s="701"/>
      <c r="H332" s="701"/>
      <c r="I332" s="701"/>
      <c r="J332" s="701">
        <v>2</v>
      </c>
      <c r="K332" s="701">
        <v>14393.02</v>
      </c>
      <c r="L332" s="701">
        <v>1</v>
      </c>
      <c r="M332" s="701">
        <v>7196.51</v>
      </c>
      <c r="N332" s="701"/>
      <c r="O332" s="701"/>
      <c r="P332" s="723"/>
      <c r="Q332" s="702"/>
    </row>
    <row r="333" spans="1:17" ht="14.4" customHeight="1" x14ac:dyDescent="0.3">
      <c r="A333" s="696" t="s">
        <v>4559</v>
      </c>
      <c r="B333" s="697" t="s">
        <v>3936</v>
      </c>
      <c r="C333" s="697" t="s">
        <v>3294</v>
      </c>
      <c r="D333" s="697" t="s">
        <v>4688</v>
      </c>
      <c r="E333" s="697" t="s">
        <v>4689</v>
      </c>
      <c r="F333" s="701">
        <v>20</v>
      </c>
      <c r="G333" s="701">
        <v>87200</v>
      </c>
      <c r="H333" s="701">
        <v>0.86956521739130432</v>
      </c>
      <c r="I333" s="701">
        <v>4360</v>
      </c>
      <c r="J333" s="701">
        <v>23</v>
      </c>
      <c r="K333" s="701">
        <v>100280</v>
      </c>
      <c r="L333" s="701">
        <v>1</v>
      </c>
      <c r="M333" s="701">
        <v>4360</v>
      </c>
      <c r="N333" s="701">
        <v>4</v>
      </c>
      <c r="O333" s="701">
        <v>15328.38</v>
      </c>
      <c r="P333" s="723">
        <v>0.15285580374950139</v>
      </c>
      <c r="Q333" s="702">
        <v>3832.0949999999998</v>
      </c>
    </row>
    <row r="334" spans="1:17" ht="14.4" customHeight="1" x14ac:dyDescent="0.3">
      <c r="A334" s="696" t="s">
        <v>4559</v>
      </c>
      <c r="B334" s="697" t="s">
        <v>3936</v>
      </c>
      <c r="C334" s="697" t="s">
        <v>3294</v>
      </c>
      <c r="D334" s="697" t="s">
        <v>4690</v>
      </c>
      <c r="E334" s="697" t="s">
        <v>4691</v>
      </c>
      <c r="F334" s="701">
        <v>1</v>
      </c>
      <c r="G334" s="701">
        <v>19969</v>
      </c>
      <c r="H334" s="701"/>
      <c r="I334" s="701">
        <v>19969</v>
      </c>
      <c r="J334" s="701"/>
      <c r="K334" s="701"/>
      <c r="L334" s="701"/>
      <c r="M334" s="701"/>
      <c r="N334" s="701"/>
      <c r="O334" s="701"/>
      <c r="P334" s="723"/>
      <c r="Q334" s="702"/>
    </row>
    <row r="335" spans="1:17" ht="14.4" customHeight="1" x14ac:dyDescent="0.3">
      <c r="A335" s="696" t="s">
        <v>4559</v>
      </c>
      <c r="B335" s="697" t="s">
        <v>3936</v>
      </c>
      <c r="C335" s="697" t="s">
        <v>3294</v>
      </c>
      <c r="D335" s="697" t="s">
        <v>4692</v>
      </c>
      <c r="E335" s="697" t="s">
        <v>4693</v>
      </c>
      <c r="F335" s="701">
        <v>3</v>
      </c>
      <c r="G335" s="701">
        <v>79500.63</v>
      </c>
      <c r="H335" s="701">
        <v>0.60000000000000009</v>
      </c>
      <c r="I335" s="701">
        <v>26500.210000000003</v>
      </c>
      <c r="J335" s="701">
        <v>5</v>
      </c>
      <c r="K335" s="701">
        <v>132501.04999999999</v>
      </c>
      <c r="L335" s="701">
        <v>1</v>
      </c>
      <c r="M335" s="701">
        <v>26500.21</v>
      </c>
      <c r="N335" s="701">
        <v>3</v>
      </c>
      <c r="O335" s="701">
        <v>37978.800000000003</v>
      </c>
      <c r="P335" s="723">
        <v>0.28663018142120389</v>
      </c>
      <c r="Q335" s="702">
        <v>12659.6</v>
      </c>
    </row>
    <row r="336" spans="1:17" ht="14.4" customHeight="1" x14ac:dyDescent="0.3">
      <c r="A336" s="696" t="s">
        <v>4559</v>
      </c>
      <c r="B336" s="697" t="s">
        <v>3936</v>
      </c>
      <c r="C336" s="697" t="s">
        <v>3294</v>
      </c>
      <c r="D336" s="697" t="s">
        <v>4694</v>
      </c>
      <c r="E336" s="697" t="s">
        <v>4695</v>
      </c>
      <c r="F336" s="701">
        <v>2</v>
      </c>
      <c r="G336" s="701">
        <v>761.72</v>
      </c>
      <c r="H336" s="701">
        <v>0.28571428571428575</v>
      </c>
      <c r="I336" s="701">
        <v>380.86</v>
      </c>
      <c r="J336" s="701">
        <v>7</v>
      </c>
      <c r="K336" s="701">
        <v>2666.02</v>
      </c>
      <c r="L336" s="701">
        <v>1</v>
      </c>
      <c r="M336" s="701">
        <v>380.86</v>
      </c>
      <c r="N336" s="701">
        <v>4</v>
      </c>
      <c r="O336" s="701">
        <v>1523.44</v>
      </c>
      <c r="P336" s="723">
        <v>0.57142857142857151</v>
      </c>
      <c r="Q336" s="702">
        <v>380.86</v>
      </c>
    </row>
    <row r="337" spans="1:17" ht="14.4" customHeight="1" x14ac:dyDescent="0.3">
      <c r="A337" s="696" t="s">
        <v>4559</v>
      </c>
      <c r="B337" s="697" t="s">
        <v>3936</v>
      </c>
      <c r="C337" s="697" t="s">
        <v>3294</v>
      </c>
      <c r="D337" s="697" t="s">
        <v>4696</v>
      </c>
      <c r="E337" s="697" t="s">
        <v>4697</v>
      </c>
      <c r="F337" s="701">
        <v>1</v>
      </c>
      <c r="G337" s="701">
        <v>3178.63</v>
      </c>
      <c r="H337" s="701"/>
      <c r="I337" s="701">
        <v>3178.63</v>
      </c>
      <c r="J337" s="701"/>
      <c r="K337" s="701"/>
      <c r="L337" s="701"/>
      <c r="M337" s="701"/>
      <c r="N337" s="701">
        <v>2</v>
      </c>
      <c r="O337" s="701">
        <v>6357.26</v>
      </c>
      <c r="P337" s="723"/>
      <c r="Q337" s="702">
        <v>3178.63</v>
      </c>
    </row>
    <row r="338" spans="1:17" ht="14.4" customHeight="1" x14ac:dyDescent="0.3">
      <c r="A338" s="696" t="s">
        <v>4559</v>
      </c>
      <c r="B338" s="697" t="s">
        <v>3936</v>
      </c>
      <c r="C338" s="697" t="s">
        <v>3294</v>
      </c>
      <c r="D338" s="697" t="s">
        <v>4698</v>
      </c>
      <c r="E338" s="697" t="s">
        <v>4699</v>
      </c>
      <c r="F338" s="701"/>
      <c r="G338" s="701"/>
      <c r="H338" s="701"/>
      <c r="I338" s="701"/>
      <c r="J338" s="701">
        <v>2</v>
      </c>
      <c r="K338" s="701">
        <v>194235</v>
      </c>
      <c r="L338" s="701">
        <v>1</v>
      </c>
      <c r="M338" s="701">
        <v>97117.5</v>
      </c>
      <c r="N338" s="701"/>
      <c r="O338" s="701"/>
      <c r="P338" s="723"/>
      <c r="Q338" s="702"/>
    </row>
    <row r="339" spans="1:17" ht="14.4" customHeight="1" x14ac:dyDescent="0.3">
      <c r="A339" s="696" t="s">
        <v>4559</v>
      </c>
      <c r="B339" s="697" t="s">
        <v>3936</v>
      </c>
      <c r="C339" s="697" t="s">
        <v>3294</v>
      </c>
      <c r="D339" s="697" t="s">
        <v>4700</v>
      </c>
      <c r="E339" s="697" t="s">
        <v>4701</v>
      </c>
      <c r="F339" s="701">
        <v>1</v>
      </c>
      <c r="G339" s="701">
        <v>17527.810000000001</v>
      </c>
      <c r="H339" s="701"/>
      <c r="I339" s="701">
        <v>17527.810000000001</v>
      </c>
      <c r="J339" s="701"/>
      <c r="K339" s="701"/>
      <c r="L339" s="701"/>
      <c r="M339" s="701"/>
      <c r="N339" s="701"/>
      <c r="O339" s="701"/>
      <c r="P339" s="723"/>
      <c r="Q339" s="702"/>
    </row>
    <row r="340" spans="1:17" ht="14.4" customHeight="1" x14ac:dyDescent="0.3">
      <c r="A340" s="696" t="s">
        <v>4559</v>
      </c>
      <c r="B340" s="697" t="s">
        <v>3936</v>
      </c>
      <c r="C340" s="697" t="s">
        <v>3294</v>
      </c>
      <c r="D340" s="697" t="s">
        <v>4702</v>
      </c>
      <c r="E340" s="697" t="s">
        <v>4703</v>
      </c>
      <c r="F340" s="701"/>
      <c r="G340" s="701"/>
      <c r="H340" s="701"/>
      <c r="I340" s="701"/>
      <c r="J340" s="701">
        <v>2</v>
      </c>
      <c r="K340" s="701">
        <v>620</v>
      </c>
      <c r="L340" s="701">
        <v>1</v>
      </c>
      <c r="M340" s="701">
        <v>310</v>
      </c>
      <c r="N340" s="701">
        <v>1</v>
      </c>
      <c r="O340" s="701">
        <v>310</v>
      </c>
      <c r="P340" s="723">
        <v>0.5</v>
      </c>
      <c r="Q340" s="702">
        <v>310</v>
      </c>
    </row>
    <row r="341" spans="1:17" ht="14.4" customHeight="1" x14ac:dyDescent="0.3">
      <c r="A341" s="696" t="s">
        <v>4559</v>
      </c>
      <c r="B341" s="697" t="s">
        <v>3936</v>
      </c>
      <c r="C341" s="697" t="s">
        <v>3294</v>
      </c>
      <c r="D341" s="697" t="s">
        <v>4704</v>
      </c>
      <c r="E341" s="697" t="s">
        <v>4705</v>
      </c>
      <c r="F341" s="701">
        <v>1</v>
      </c>
      <c r="G341" s="701">
        <v>33448</v>
      </c>
      <c r="H341" s="701"/>
      <c r="I341" s="701">
        <v>33448</v>
      </c>
      <c r="J341" s="701"/>
      <c r="K341" s="701"/>
      <c r="L341" s="701"/>
      <c r="M341" s="701"/>
      <c r="N341" s="701"/>
      <c r="O341" s="701"/>
      <c r="P341" s="723"/>
      <c r="Q341" s="702"/>
    </row>
    <row r="342" spans="1:17" ht="14.4" customHeight="1" x14ac:dyDescent="0.3">
      <c r="A342" s="696" t="s">
        <v>4559</v>
      </c>
      <c r="B342" s="697" t="s">
        <v>3936</v>
      </c>
      <c r="C342" s="697" t="s">
        <v>3294</v>
      </c>
      <c r="D342" s="697" t="s">
        <v>4706</v>
      </c>
      <c r="E342" s="697" t="s">
        <v>4707</v>
      </c>
      <c r="F342" s="701">
        <v>1</v>
      </c>
      <c r="G342" s="701">
        <v>44071.360000000001</v>
      </c>
      <c r="H342" s="701"/>
      <c r="I342" s="701">
        <v>44071.360000000001</v>
      </c>
      <c r="J342" s="701"/>
      <c r="K342" s="701"/>
      <c r="L342" s="701"/>
      <c r="M342" s="701"/>
      <c r="N342" s="701"/>
      <c r="O342" s="701"/>
      <c r="P342" s="723"/>
      <c r="Q342" s="702"/>
    </row>
    <row r="343" spans="1:17" ht="14.4" customHeight="1" x14ac:dyDescent="0.3">
      <c r="A343" s="696" t="s">
        <v>4559</v>
      </c>
      <c r="B343" s="697" t="s">
        <v>3936</v>
      </c>
      <c r="C343" s="697" t="s">
        <v>3294</v>
      </c>
      <c r="D343" s="697" t="s">
        <v>4708</v>
      </c>
      <c r="E343" s="697" t="s">
        <v>4709</v>
      </c>
      <c r="F343" s="701">
        <v>1</v>
      </c>
      <c r="G343" s="701">
        <v>34650</v>
      </c>
      <c r="H343" s="701"/>
      <c r="I343" s="701">
        <v>34650</v>
      </c>
      <c r="J343" s="701"/>
      <c r="K343" s="701"/>
      <c r="L343" s="701"/>
      <c r="M343" s="701"/>
      <c r="N343" s="701"/>
      <c r="O343" s="701"/>
      <c r="P343" s="723"/>
      <c r="Q343" s="702"/>
    </row>
    <row r="344" spans="1:17" ht="14.4" customHeight="1" x14ac:dyDescent="0.3">
      <c r="A344" s="696" t="s">
        <v>4559</v>
      </c>
      <c r="B344" s="697" t="s">
        <v>3936</v>
      </c>
      <c r="C344" s="697" t="s">
        <v>3294</v>
      </c>
      <c r="D344" s="697" t="s">
        <v>4710</v>
      </c>
      <c r="E344" s="697" t="s">
        <v>4711</v>
      </c>
      <c r="F344" s="701"/>
      <c r="G344" s="701"/>
      <c r="H344" s="701"/>
      <c r="I344" s="701"/>
      <c r="J344" s="701">
        <v>1</v>
      </c>
      <c r="K344" s="701">
        <v>75000</v>
      </c>
      <c r="L344" s="701">
        <v>1</v>
      </c>
      <c r="M344" s="701">
        <v>75000</v>
      </c>
      <c r="N344" s="701"/>
      <c r="O344" s="701"/>
      <c r="P344" s="723"/>
      <c r="Q344" s="702"/>
    </row>
    <row r="345" spans="1:17" ht="14.4" customHeight="1" x14ac:dyDescent="0.3">
      <c r="A345" s="696" t="s">
        <v>4559</v>
      </c>
      <c r="B345" s="697" t="s">
        <v>3936</v>
      </c>
      <c r="C345" s="697" t="s">
        <v>3294</v>
      </c>
      <c r="D345" s="697" t="s">
        <v>4712</v>
      </c>
      <c r="E345" s="697" t="s">
        <v>4713</v>
      </c>
      <c r="F345" s="701"/>
      <c r="G345" s="701"/>
      <c r="H345" s="701"/>
      <c r="I345" s="701"/>
      <c r="J345" s="701"/>
      <c r="K345" s="701"/>
      <c r="L345" s="701"/>
      <c r="M345" s="701"/>
      <c r="N345" s="701">
        <v>1</v>
      </c>
      <c r="O345" s="701">
        <v>36225</v>
      </c>
      <c r="P345" s="723"/>
      <c r="Q345" s="702">
        <v>36225</v>
      </c>
    </row>
    <row r="346" spans="1:17" ht="14.4" customHeight="1" x14ac:dyDescent="0.3">
      <c r="A346" s="696" t="s">
        <v>4559</v>
      </c>
      <c r="B346" s="697" t="s">
        <v>3936</v>
      </c>
      <c r="C346" s="697" t="s">
        <v>3294</v>
      </c>
      <c r="D346" s="697" t="s">
        <v>4714</v>
      </c>
      <c r="E346" s="697" t="s">
        <v>4715</v>
      </c>
      <c r="F346" s="701">
        <v>1</v>
      </c>
      <c r="G346" s="701">
        <v>1261.46</v>
      </c>
      <c r="H346" s="701"/>
      <c r="I346" s="701">
        <v>1261.46</v>
      </c>
      <c r="J346" s="701"/>
      <c r="K346" s="701"/>
      <c r="L346" s="701"/>
      <c r="M346" s="701"/>
      <c r="N346" s="701"/>
      <c r="O346" s="701"/>
      <c r="P346" s="723"/>
      <c r="Q346" s="702"/>
    </row>
    <row r="347" spans="1:17" ht="14.4" customHeight="1" x14ac:dyDescent="0.3">
      <c r="A347" s="696" t="s">
        <v>4559</v>
      </c>
      <c r="B347" s="697" t="s">
        <v>3936</v>
      </c>
      <c r="C347" s="697" t="s">
        <v>3294</v>
      </c>
      <c r="D347" s="697" t="s">
        <v>4716</v>
      </c>
      <c r="E347" s="697" t="s">
        <v>4717</v>
      </c>
      <c r="F347" s="701"/>
      <c r="G347" s="701"/>
      <c r="H347" s="701"/>
      <c r="I347" s="701"/>
      <c r="J347" s="701">
        <v>1</v>
      </c>
      <c r="K347" s="701">
        <v>8860.39</v>
      </c>
      <c r="L347" s="701">
        <v>1</v>
      </c>
      <c r="M347" s="701">
        <v>8860.39</v>
      </c>
      <c r="N347" s="701"/>
      <c r="O347" s="701"/>
      <c r="P347" s="723"/>
      <c r="Q347" s="702"/>
    </row>
    <row r="348" spans="1:17" ht="14.4" customHeight="1" x14ac:dyDescent="0.3">
      <c r="A348" s="696" t="s">
        <v>4559</v>
      </c>
      <c r="B348" s="697" t="s">
        <v>3936</v>
      </c>
      <c r="C348" s="697" t="s">
        <v>3294</v>
      </c>
      <c r="D348" s="697" t="s">
        <v>4718</v>
      </c>
      <c r="E348" s="697" t="s">
        <v>4719</v>
      </c>
      <c r="F348" s="701"/>
      <c r="G348" s="701"/>
      <c r="H348" s="701"/>
      <c r="I348" s="701"/>
      <c r="J348" s="701"/>
      <c r="K348" s="701"/>
      <c r="L348" s="701"/>
      <c r="M348" s="701"/>
      <c r="N348" s="701">
        <v>2</v>
      </c>
      <c r="O348" s="701">
        <v>53000</v>
      </c>
      <c r="P348" s="723"/>
      <c r="Q348" s="702">
        <v>26500</v>
      </c>
    </row>
    <row r="349" spans="1:17" ht="14.4" customHeight="1" x14ac:dyDescent="0.3">
      <c r="A349" s="696" t="s">
        <v>4559</v>
      </c>
      <c r="B349" s="697" t="s">
        <v>3936</v>
      </c>
      <c r="C349" s="697" t="s">
        <v>3294</v>
      </c>
      <c r="D349" s="697" t="s">
        <v>4720</v>
      </c>
      <c r="E349" s="697" t="s">
        <v>4721</v>
      </c>
      <c r="F349" s="701"/>
      <c r="G349" s="701"/>
      <c r="H349" s="701"/>
      <c r="I349" s="701"/>
      <c r="J349" s="701"/>
      <c r="K349" s="701"/>
      <c r="L349" s="701"/>
      <c r="M349" s="701"/>
      <c r="N349" s="701">
        <v>2</v>
      </c>
      <c r="O349" s="701">
        <v>5929</v>
      </c>
      <c r="P349" s="723"/>
      <c r="Q349" s="702">
        <v>2964.5</v>
      </c>
    </row>
    <row r="350" spans="1:17" ht="14.4" customHeight="1" x14ac:dyDescent="0.3">
      <c r="A350" s="696" t="s">
        <v>4559</v>
      </c>
      <c r="B350" s="697" t="s">
        <v>3936</v>
      </c>
      <c r="C350" s="697" t="s">
        <v>3294</v>
      </c>
      <c r="D350" s="697" t="s">
        <v>4722</v>
      </c>
      <c r="E350" s="697" t="s">
        <v>4630</v>
      </c>
      <c r="F350" s="701"/>
      <c r="G350" s="701"/>
      <c r="H350" s="701"/>
      <c r="I350" s="701"/>
      <c r="J350" s="701">
        <v>1</v>
      </c>
      <c r="K350" s="701">
        <v>2697.24</v>
      </c>
      <c r="L350" s="701">
        <v>1</v>
      </c>
      <c r="M350" s="701">
        <v>2697.24</v>
      </c>
      <c r="N350" s="701"/>
      <c r="O350" s="701"/>
      <c r="P350" s="723"/>
      <c r="Q350" s="702"/>
    </row>
    <row r="351" spans="1:17" ht="14.4" customHeight="1" x14ac:dyDescent="0.3">
      <c r="A351" s="696" t="s">
        <v>4559</v>
      </c>
      <c r="B351" s="697" t="s">
        <v>3936</v>
      </c>
      <c r="C351" s="697" t="s">
        <v>3294</v>
      </c>
      <c r="D351" s="697" t="s">
        <v>4723</v>
      </c>
      <c r="E351" s="697" t="s">
        <v>4724</v>
      </c>
      <c r="F351" s="701">
        <v>1</v>
      </c>
      <c r="G351" s="701">
        <v>2746.99</v>
      </c>
      <c r="H351" s="701"/>
      <c r="I351" s="701">
        <v>2746.99</v>
      </c>
      <c r="J351" s="701"/>
      <c r="K351" s="701"/>
      <c r="L351" s="701"/>
      <c r="M351" s="701"/>
      <c r="N351" s="701"/>
      <c r="O351" s="701"/>
      <c r="P351" s="723"/>
      <c r="Q351" s="702"/>
    </row>
    <row r="352" spans="1:17" ht="14.4" customHeight="1" x14ac:dyDescent="0.3">
      <c r="A352" s="696" t="s">
        <v>4559</v>
      </c>
      <c r="B352" s="697" t="s">
        <v>3936</v>
      </c>
      <c r="C352" s="697" t="s">
        <v>2708</v>
      </c>
      <c r="D352" s="697" t="s">
        <v>4725</v>
      </c>
      <c r="E352" s="697" t="s">
        <v>4726</v>
      </c>
      <c r="F352" s="701"/>
      <c r="G352" s="701"/>
      <c r="H352" s="701"/>
      <c r="I352" s="701"/>
      <c r="J352" s="701"/>
      <c r="K352" s="701"/>
      <c r="L352" s="701"/>
      <c r="M352" s="701"/>
      <c r="N352" s="701">
        <v>2</v>
      </c>
      <c r="O352" s="701">
        <v>428</v>
      </c>
      <c r="P352" s="723"/>
      <c r="Q352" s="702">
        <v>214</v>
      </c>
    </row>
    <row r="353" spans="1:17" ht="14.4" customHeight="1" x14ac:dyDescent="0.3">
      <c r="A353" s="696" t="s">
        <v>4559</v>
      </c>
      <c r="B353" s="697" t="s">
        <v>3936</v>
      </c>
      <c r="C353" s="697" t="s">
        <v>2708</v>
      </c>
      <c r="D353" s="697" t="s">
        <v>4725</v>
      </c>
      <c r="E353" s="697" t="s">
        <v>4727</v>
      </c>
      <c r="F353" s="701">
        <v>1</v>
      </c>
      <c r="G353" s="701">
        <v>213</v>
      </c>
      <c r="H353" s="701"/>
      <c r="I353" s="701">
        <v>213</v>
      </c>
      <c r="J353" s="701"/>
      <c r="K353" s="701"/>
      <c r="L353" s="701"/>
      <c r="M353" s="701"/>
      <c r="N353" s="701">
        <v>1</v>
      </c>
      <c r="O353" s="701">
        <v>214</v>
      </c>
      <c r="P353" s="723"/>
      <c r="Q353" s="702">
        <v>214</v>
      </c>
    </row>
    <row r="354" spans="1:17" ht="14.4" customHeight="1" x14ac:dyDescent="0.3">
      <c r="A354" s="696" t="s">
        <v>4559</v>
      </c>
      <c r="B354" s="697" t="s">
        <v>3936</v>
      </c>
      <c r="C354" s="697" t="s">
        <v>2708</v>
      </c>
      <c r="D354" s="697" t="s">
        <v>4728</v>
      </c>
      <c r="E354" s="697" t="s">
        <v>4729</v>
      </c>
      <c r="F354" s="701">
        <v>2</v>
      </c>
      <c r="G354" s="701">
        <v>310</v>
      </c>
      <c r="H354" s="701">
        <v>1</v>
      </c>
      <c r="I354" s="701">
        <v>155</v>
      </c>
      <c r="J354" s="701">
        <v>2</v>
      </c>
      <c r="K354" s="701">
        <v>310</v>
      </c>
      <c r="L354" s="701">
        <v>1</v>
      </c>
      <c r="M354" s="701">
        <v>155</v>
      </c>
      <c r="N354" s="701">
        <v>2</v>
      </c>
      <c r="O354" s="701">
        <v>310</v>
      </c>
      <c r="P354" s="723">
        <v>1</v>
      </c>
      <c r="Q354" s="702">
        <v>155</v>
      </c>
    </row>
    <row r="355" spans="1:17" ht="14.4" customHeight="1" x14ac:dyDescent="0.3">
      <c r="A355" s="696" t="s">
        <v>4559</v>
      </c>
      <c r="B355" s="697" t="s">
        <v>3936</v>
      </c>
      <c r="C355" s="697" t="s">
        <v>2708</v>
      </c>
      <c r="D355" s="697" t="s">
        <v>4728</v>
      </c>
      <c r="E355" s="697" t="s">
        <v>4730</v>
      </c>
      <c r="F355" s="701">
        <v>1</v>
      </c>
      <c r="G355" s="701">
        <v>155</v>
      </c>
      <c r="H355" s="701">
        <v>0.33333333333333331</v>
      </c>
      <c r="I355" s="701">
        <v>155</v>
      </c>
      <c r="J355" s="701">
        <v>3</v>
      </c>
      <c r="K355" s="701">
        <v>465</v>
      </c>
      <c r="L355" s="701">
        <v>1</v>
      </c>
      <c r="M355" s="701">
        <v>155</v>
      </c>
      <c r="N355" s="701"/>
      <c r="O355" s="701"/>
      <c r="P355" s="723"/>
      <c r="Q355" s="702"/>
    </row>
    <row r="356" spans="1:17" ht="14.4" customHeight="1" x14ac:dyDescent="0.3">
      <c r="A356" s="696" t="s">
        <v>4559</v>
      </c>
      <c r="B356" s="697" t="s">
        <v>3936</v>
      </c>
      <c r="C356" s="697" t="s">
        <v>2708</v>
      </c>
      <c r="D356" s="697" t="s">
        <v>4731</v>
      </c>
      <c r="E356" s="697" t="s">
        <v>4732</v>
      </c>
      <c r="F356" s="701">
        <v>2</v>
      </c>
      <c r="G356" s="701">
        <v>374</v>
      </c>
      <c r="H356" s="701"/>
      <c r="I356" s="701">
        <v>187</v>
      </c>
      <c r="J356" s="701"/>
      <c r="K356" s="701"/>
      <c r="L356" s="701"/>
      <c r="M356" s="701"/>
      <c r="N356" s="701">
        <v>1</v>
      </c>
      <c r="O356" s="701">
        <v>187</v>
      </c>
      <c r="P356" s="723"/>
      <c r="Q356" s="702">
        <v>187</v>
      </c>
    </row>
    <row r="357" spans="1:17" ht="14.4" customHeight="1" x14ac:dyDescent="0.3">
      <c r="A357" s="696" t="s">
        <v>4559</v>
      </c>
      <c r="B357" s="697" t="s">
        <v>3936</v>
      </c>
      <c r="C357" s="697" t="s">
        <v>2708</v>
      </c>
      <c r="D357" s="697" t="s">
        <v>4731</v>
      </c>
      <c r="E357" s="697" t="s">
        <v>4733</v>
      </c>
      <c r="F357" s="701">
        <v>1</v>
      </c>
      <c r="G357" s="701">
        <v>187</v>
      </c>
      <c r="H357" s="701"/>
      <c r="I357" s="701">
        <v>187</v>
      </c>
      <c r="J357" s="701"/>
      <c r="K357" s="701"/>
      <c r="L357" s="701"/>
      <c r="M357" s="701"/>
      <c r="N357" s="701"/>
      <c r="O357" s="701"/>
      <c r="P357" s="723"/>
      <c r="Q357" s="702"/>
    </row>
    <row r="358" spans="1:17" ht="14.4" customHeight="1" x14ac:dyDescent="0.3">
      <c r="A358" s="696" t="s">
        <v>4559</v>
      </c>
      <c r="B358" s="697" t="s">
        <v>3936</v>
      </c>
      <c r="C358" s="697" t="s">
        <v>2708</v>
      </c>
      <c r="D358" s="697" t="s">
        <v>4734</v>
      </c>
      <c r="E358" s="697" t="s">
        <v>4735</v>
      </c>
      <c r="F358" s="701">
        <v>46</v>
      </c>
      <c r="G358" s="701">
        <v>5888</v>
      </c>
      <c r="H358" s="701">
        <v>1.5862068965517242</v>
      </c>
      <c r="I358" s="701">
        <v>128</v>
      </c>
      <c r="J358" s="701">
        <v>29</v>
      </c>
      <c r="K358" s="701">
        <v>3712</v>
      </c>
      <c r="L358" s="701">
        <v>1</v>
      </c>
      <c r="M358" s="701">
        <v>128</v>
      </c>
      <c r="N358" s="701">
        <v>32</v>
      </c>
      <c r="O358" s="701">
        <v>4096</v>
      </c>
      <c r="P358" s="723">
        <v>1.103448275862069</v>
      </c>
      <c r="Q358" s="702">
        <v>128</v>
      </c>
    </row>
    <row r="359" spans="1:17" ht="14.4" customHeight="1" x14ac:dyDescent="0.3">
      <c r="A359" s="696" t="s">
        <v>4559</v>
      </c>
      <c r="B359" s="697" t="s">
        <v>3936</v>
      </c>
      <c r="C359" s="697" t="s">
        <v>2708</v>
      </c>
      <c r="D359" s="697" t="s">
        <v>4734</v>
      </c>
      <c r="E359" s="697" t="s">
        <v>4736</v>
      </c>
      <c r="F359" s="701">
        <v>11</v>
      </c>
      <c r="G359" s="701">
        <v>1408</v>
      </c>
      <c r="H359" s="701">
        <v>1</v>
      </c>
      <c r="I359" s="701">
        <v>128</v>
      </c>
      <c r="J359" s="701">
        <v>11</v>
      </c>
      <c r="K359" s="701">
        <v>1408</v>
      </c>
      <c r="L359" s="701">
        <v>1</v>
      </c>
      <c r="M359" s="701">
        <v>128</v>
      </c>
      <c r="N359" s="701">
        <v>6</v>
      </c>
      <c r="O359" s="701">
        <v>768</v>
      </c>
      <c r="P359" s="723">
        <v>0.54545454545454541</v>
      </c>
      <c r="Q359" s="702">
        <v>128</v>
      </c>
    </row>
    <row r="360" spans="1:17" ht="14.4" customHeight="1" x14ac:dyDescent="0.3">
      <c r="A360" s="696" t="s">
        <v>4559</v>
      </c>
      <c r="B360" s="697" t="s">
        <v>3936</v>
      </c>
      <c r="C360" s="697" t="s">
        <v>2708</v>
      </c>
      <c r="D360" s="697" t="s">
        <v>4737</v>
      </c>
      <c r="E360" s="697" t="s">
        <v>4738</v>
      </c>
      <c r="F360" s="701">
        <v>109</v>
      </c>
      <c r="G360" s="701">
        <v>24307</v>
      </c>
      <c r="H360" s="701">
        <v>2.2244897959183674</v>
      </c>
      <c r="I360" s="701">
        <v>223</v>
      </c>
      <c r="J360" s="701">
        <v>49</v>
      </c>
      <c r="K360" s="701">
        <v>10927</v>
      </c>
      <c r="L360" s="701">
        <v>1</v>
      </c>
      <c r="M360" s="701">
        <v>223</v>
      </c>
      <c r="N360" s="701">
        <v>27</v>
      </c>
      <c r="O360" s="701">
        <v>6048</v>
      </c>
      <c r="P360" s="723">
        <v>0.55349135169762975</v>
      </c>
      <c r="Q360" s="702">
        <v>224</v>
      </c>
    </row>
    <row r="361" spans="1:17" ht="14.4" customHeight="1" x14ac:dyDescent="0.3">
      <c r="A361" s="696" t="s">
        <v>4559</v>
      </c>
      <c r="B361" s="697" t="s">
        <v>3936</v>
      </c>
      <c r="C361" s="697" t="s">
        <v>2708</v>
      </c>
      <c r="D361" s="697" t="s">
        <v>4737</v>
      </c>
      <c r="E361" s="697" t="s">
        <v>4739</v>
      </c>
      <c r="F361" s="701">
        <v>24</v>
      </c>
      <c r="G361" s="701">
        <v>5352</v>
      </c>
      <c r="H361" s="701">
        <v>1.0434782608695652</v>
      </c>
      <c r="I361" s="701">
        <v>223</v>
      </c>
      <c r="J361" s="701">
        <v>23</v>
      </c>
      <c r="K361" s="701">
        <v>5129</v>
      </c>
      <c r="L361" s="701">
        <v>1</v>
      </c>
      <c r="M361" s="701">
        <v>223</v>
      </c>
      <c r="N361" s="701">
        <v>34</v>
      </c>
      <c r="O361" s="701">
        <v>7616</v>
      </c>
      <c r="P361" s="723">
        <v>1.4848898420744785</v>
      </c>
      <c r="Q361" s="702">
        <v>224</v>
      </c>
    </row>
    <row r="362" spans="1:17" ht="14.4" customHeight="1" x14ac:dyDescent="0.3">
      <c r="A362" s="696" t="s">
        <v>4559</v>
      </c>
      <c r="B362" s="697" t="s">
        <v>3936</v>
      </c>
      <c r="C362" s="697" t="s">
        <v>2708</v>
      </c>
      <c r="D362" s="697" t="s">
        <v>4740</v>
      </c>
      <c r="E362" s="697" t="s">
        <v>4741</v>
      </c>
      <c r="F362" s="701"/>
      <c r="G362" s="701"/>
      <c r="H362" s="701"/>
      <c r="I362" s="701"/>
      <c r="J362" s="701">
        <v>1</v>
      </c>
      <c r="K362" s="701">
        <v>223</v>
      </c>
      <c r="L362" s="701">
        <v>1</v>
      </c>
      <c r="M362" s="701">
        <v>223</v>
      </c>
      <c r="N362" s="701"/>
      <c r="O362" s="701"/>
      <c r="P362" s="723"/>
      <c r="Q362" s="702"/>
    </row>
    <row r="363" spans="1:17" ht="14.4" customHeight="1" x14ac:dyDescent="0.3">
      <c r="A363" s="696" t="s">
        <v>4559</v>
      </c>
      <c r="B363" s="697" t="s">
        <v>3936</v>
      </c>
      <c r="C363" s="697" t="s">
        <v>2708</v>
      </c>
      <c r="D363" s="697" t="s">
        <v>4742</v>
      </c>
      <c r="E363" s="697" t="s">
        <v>4743</v>
      </c>
      <c r="F363" s="701">
        <v>24</v>
      </c>
      <c r="G363" s="701">
        <v>5400</v>
      </c>
      <c r="H363" s="701">
        <v>1.6</v>
      </c>
      <c r="I363" s="701">
        <v>225</v>
      </c>
      <c r="J363" s="701">
        <v>15</v>
      </c>
      <c r="K363" s="701">
        <v>3375</v>
      </c>
      <c r="L363" s="701">
        <v>1</v>
      </c>
      <c r="M363" s="701">
        <v>225</v>
      </c>
      <c r="N363" s="701">
        <v>31</v>
      </c>
      <c r="O363" s="701">
        <v>7006</v>
      </c>
      <c r="P363" s="723">
        <v>2.0758518518518518</v>
      </c>
      <c r="Q363" s="702">
        <v>226</v>
      </c>
    </row>
    <row r="364" spans="1:17" ht="14.4" customHeight="1" x14ac:dyDescent="0.3">
      <c r="A364" s="696" t="s">
        <v>4559</v>
      </c>
      <c r="B364" s="697" t="s">
        <v>3936</v>
      </c>
      <c r="C364" s="697" t="s">
        <v>2708</v>
      </c>
      <c r="D364" s="697" t="s">
        <v>4742</v>
      </c>
      <c r="E364" s="697" t="s">
        <v>4744</v>
      </c>
      <c r="F364" s="701">
        <v>57</v>
      </c>
      <c r="G364" s="701">
        <v>12825</v>
      </c>
      <c r="H364" s="701">
        <v>1.2391304347826086</v>
      </c>
      <c r="I364" s="701">
        <v>225</v>
      </c>
      <c r="J364" s="701">
        <v>46</v>
      </c>
      <c r="K364" s="701">
        <v>10350</v>
      </c>
      <c r="L364" s="701">
        <v>1</v>
      </c>
      <c r="M364" s="701">
        <v>225</v>
      </c>
      <c r="N364" s="701">
        <v>54</v>
      </c>
      <c r="O364" s="701">
        <v>12204</v>
      </c>
      <c r="P364" s="723">
        <v>1.1791304347826086</v>
      </c>
      <c r="Q364" s="702">
        <v>226</v>
      </c>
    </row>
    <row r="365" spans="1:17" ht="14.4" customHeight="1" x14ac:dyDescent="0.3">
      <c r="A365" s="696" t="s">
        <v>4559</v>
      </c>
      <c r="B365" s="697" t="s">
        <v>3936</v>
      </c>
      <c r="C365" s="697" t="s">
        <v>2708</v>
      </c>
      <c r="D365" s="697" t="s">
        <v>4745</v>
      </c>
      <c r="E365" s="697" t="s">
        <v>4746</v>
      </c>
      <c r="F365" s="701">
        <v>3</v>
      </c>
      <c r="G365" s="701">
        <v>1875</v>
      </c>
      <c r="H365" s="701">
        <v>1.4976038338658146</v>
      </c>
      <c r="I365" s="701">
        <v>625</v>
      </c>
      <c r="J365" s="701">
        <v>2</v>
      </c>
      <c r="K365" s="701">
        <v>1252</v>
      </c>
      <c r="L365" s="701">
        <v>1</v>
      </c>
      <c r="M365" s="701">
        <v>626</v>
      </c>
      <c r="N365" s="701">
        <v>3</v>
      </c>
      <c r="O365" s="701">
        <v>1878</v>
      </c>
      <c r="P365" s="723">
        <v>1.5</v>
      </c>
      <c r="Q365" s="702">
        <v>626</v>
      </c>
    </row>
    <row r="366" spans="1:17" ht="14.4" customHeight="1" x14ac:dyDescent="0.3">
      <c r="A366" s="696" t="s">
        <v>4559</v>
      </c>
      <c r="B366" s="697" t="s">
        <v>3936</v>
      </c>
      <c r="C366" s="697" t="s">
        <v>2708</v>
      </c>
      <c r="D366" s="697" t="s">
        <v>4745</v>
      </c>
      <c r="E366" s="697" t="s">
        <v>4747</v>
      </c>
      <c r="F366" s="701">
        <v>1</v>
      </c>
      <c r="G366" s="701">
        <v>625</v>
      </c>
      <c r="H366" s="701">
        <v>0.99840255591054317</v>
      </c>
      <c r="I366" s="701">
        <v>625</v>
      </c>
      <c r="J366" s="701">
        <v>1</v>
      </c>
      <c r="K366" s="701">
        <v>626</v>
      </c>
      <c r="L366" s="701">
        <v>1</v>
      </c>
      <c r="M366" s="701">
        <v>626</v>
      </c>
      <c r="N366" s="701">
        <v>2</v>
      </c>
      <c r="O366" s="701">
        <v>1252</v>
      </c>
      <c r="P366" s="723">
        <v>2</v>
      </c>
      <c r="Q366" s="702">
        <v>626</v>
      </c>
    </row>
    <row r="367" spans="1:17" ht="14.4" customHeight="1" x14ac:dyDescent="0.3">
      <c r="A367" s="696" t="s">
        <v>4559</v>
      </c>
      <c r="B367" s="697" t="s">
        <v>3936</v>
      </c>
      <c r="C367" s="697" t="s">
        <v>2708</v>
      </c>
      <c r="D367" s="697" t="s">
        <v>3939</v>
      </c>
      <c r="E367" s="697" t="s">
        <v>3940</v>
      </c>
      <c r="F367" s="701"/>
      <c r="G367" s="701"/>
      <c r="H367" s="701"/>
      <c r="I367" s="701"/>
      <c r="J367" s="701">
        <v>1</v>
      </c>
      <c r="K367" s="701">
        <v>350</v>
      </c>
      <c r="L367" s="701">
        <v>1</v>
      </c>
      <c r="M367" s="701">
        <v>350</v>
      </c>
      <c r="N367" s="701"/>
      <c r="O367" s="701"/>
      <c r="P367" s="723"/>
      <c r="Q367" s="702"/>
    </row>
    <row r="368" spans="1:17" ht="14.4" customHeight="1" x14ac:dyDescent="0.3">
      <c r="A368" s="696" t="s">
        <v>4559</v>
      </c>
      <c r="B368" s="697" t="s">
        <v>3936</v>
      </c>
      <c r="C368" s="697" t="s">
        <v>2708</v>
      </c>
      <c r="D368" s="697" t="s">
        <v>4748</v>
      </c>
      <c r="E368" s="697" t="s">
        <v>4749</v>
      </c>
      <c r="F368" s="701"/>
      <c r="G368" s="701"/>
      <c r="H368" s="701"/>
      <c r="I368" s="701"/>
      <c r="J368" s="701">
        <v>2</v>
      </c>
      <c r="K368" s="701">
        <v>27690</v>
      </c>
      <c r="L368" s="701">
        <v>1</v>
      </c>
      <c r="M368" s="701">
        <v>13845</v>
      </c>
      <c r="N368" s="701"/>
      <c r="O368" s="701"/>
      <c r="P368" s="723"/>
      <c r="Q368" s="702"/>
    </row>
    <row r="369" spans="1:17" ht="14.4" customHeight="1" x14ac:dyDescent="0.3">
      <c r="A369" s="696" t="s">
        <v>4559</v>
      </c>
      <c r="B369" s="697" t="s">
        <v>3936</v>
      </c>
      <c r="C369" s="697" t="s">
        <v>2708</v>
      </c>
      <c r="D369" s="697" t="s">
        <v>4750</v>
      </c>
      <c r="E369" s="697" t="s">
        <v>4751</v>
      </c>
      <c r="F369" s="701"/>
      <c r="G369" s="701"/>
      <c r="H369" s="701"/>
      <c r="I369" s="701"/>
      <c r="J369" s="701">
        <v>2</v>
      </c>
      <c r="K369" s="701">
        <v>8328</v>
      </c>
      <c r="L369" s="701">
        <v>1</v>
      </c>
      <c r="M369" s="701">
        <v>4164</v>
      </c>
      <c r="N369" s="701">
        <v>4</v>
      </c>
      <c r="O369" s="701">
        <v>16664</v>
      </c>
      <c r="P369" s="723">
        <v>2.0009606147934678</v>
      </c>
      <c r="Q369" s="702">
        <v>4166</v>
      </c>
    </row>
    <row r="370" spans="1:17" ht="14.4" customHeight="1" x14ac:dyDescent="0.3">
      <c r="A370" s="696" t="s">
        <v>4559</v>
      </c>
      <c r="B370" s="697" t="s">
        <v>3936</v>
      </c>
      <c r="C370" s="697" t="s">
        <v>2708</v>
      </c>
      <c r="D370" s="697" t="s">
        <v>4750</v>
      </c>
      <c r="E370" s="697" t="s">
        <v>4752</v>
      </c>
      <c r="F370" s="701">
        <v>13</v>
      </c>
      <c r="G370" s="701">
        <v>54132</v>
      </c>
      <c r="H370" s="701">
        <v>1.625</v>
      </c>
      <c r="I370" s="701">
        <v>4164</v>
      </c>
      <c r="J370" s="701">
        <v>8</v>
      </c>
      <c r="K370" s="701">
        <v>33312</v>
      </c>
      <c r="L370" s="701">
        <v>1</v>
      </c>
      <c r="M370" s="701">
        <v>4164</v>
      </c>
      <c r="N370" s="701">
        <v>11</v>
      </c>
      <c r="O370" s="701">
        <v>45826</v>
      </c>
      <c r="P370" s="723">
        <v>1.3756604226705091</v>
      </c>
      <c r="Q370" s="702">
        <v>4166</v>
      </c>
    </row>
    <row r="371" spans="1:17" ht="14.4" customHeight="1" x14ac:dyDescent="0.3">
      <c r="A371" s="696" t="s">
        <v>4559</v>
      </c>
      <c r="B371" s="697" t="s">
        <v>3936</v>
      </c>
      <c r="C371" s="697" t="s">
        <v>2708</v>
      </c>
      <c r="D371" s="697" t="s">
        <v>3941</v>
      </c>
      <c r="E371" s="697" t="s">
        <v>4753</v>
      </c>
      <c r="F371" s="701">
        <v>3</v>
      </c>
      <c r="G371" s="701">
        <v>849</v>
      </c>
      <c r="H371" s="701">
        <v>1.5</v>
      </c>
      <c r="I371" s="701">
        <v>283</v>
      </c>
      <c r="J371" s="701">
        <v>2</v>
      </c>
      <c r="K371" s="701">
        <v>566</v>
      </c>
      <c r="L371" s="701">
        <v>1</v>
      </c>
      <c r="M371" s="701">
        <v>283</v>
      </c>
      <c r="N371" s="701">
        <v>2</v>
      </c>
      <c r="O371" s="701">
        <v>566</v>
      </c>
      <c r="P371" s="723">
        <v>1</v>
      </c>
      <c r="Q371" s="702">
        <v>283</v>
      </c>
    </row>
    <row r="372" spans="1:17" ht="14.4" customHeight="1" x14ac:dyDescent="0.3">
      <c r="A372" s="696" t="s">
        <v>4559</v>
      </c>
      <c r="B372" s="697" t="s">
        <v>3936</v>
      </c>
      <c r="C372" s="697" t="s">
        <v>2708</v>
      </c>
      <c r="D372" s="697" t="s">
        <v>3941</v>
      </c>
      <c r="E372" s="697" t="s">
        <v>3942</v>
      </c>
      <c r="F372" s="701"/>
      <c r="G372" s="701"/>
      <c r="H372" s="701"/>
      <c r="I372" s="701"/>
      <c r="J372" s="701">
        <v>2</v>
      </c>
      <c r="K372" s="701">
        <v>566</v>
      </c>
      <c r="L372" s="701">
        <v>1</v>
      </c>
      <c r="M372" s="701">
        <v>283</v>
      </c>
      <c r="N372" s="701"/>
      <c r="O372" s="701"/>
      <c r="P372" s="723"/>
      <c r="Q372" s="702"/>
    </row>
    <row r="373" spans="1:17" ht="14.4" customHeight="1" x14ac:dyDescent="0.3">
      <c r="A373" s="696" t="s">
        <v>4559</v>
      </c>
      <c r="B373" s="697" t="s">
        <v>3936</v>
      </c>
      <c r="C373" s="697" t="s">
        <v>2708</v>
      </c>
      <c r="D373" s="697" t="s">
        <v>4754</v>
      </c>
      <c r="E373" s="697" t="s">
        <v>4755</v>
      </c>
      <c r="F373" s="701">
        <v>4</v>
      </c>
      <c r="G373" s="701">
        <v>25276</v>
      </c>
      <c r="H373" s="701">
        <v>3.9993670886075949</v>
      </c>
      <c r="I373" s="701">
        <v>6319</v>
      </c>
      <c r="J373" s="701">
        <v>1</v>
      </c>
      <c r="K373" s="701">
        <v>6320</v>
      </c>
      <c r="L373" s="701">
        <v>1</v>
      </c>
      <c r="M373" s="701">
        <v>6320</v>
      </c>
      <c r="N373" s="701">
        <v>3</v>
      </c>
      <c r="O373" s="701">
        <v>18968</v>
      </c>
      <c r="P373" s="723">
        <v>3.0012658227848101</v>
      </c>
      <c r="Q373" s="702">
        <v>6322.666666666667</v>
      </c>
    </row>
    <row r="374" spans="1:17" ht="14.4" customHeight="1" x14ac:dyDescent="0.3">
      <c r="A374" s="696" t="s">
        <v>4559</v>
      </c>
      <c r="B374" s="697" t="s">
        <v>3936</v>
      </c>
      <c r="C374" s="697" t="s">
        <v>2708</v>
      </c>
      <c r="D374" s="697" t="s">
        <v>4756</v>
      </c>
      <c r="E374" s="697" t="s">
        <v>4757</v>
      </c>
      <c r="F374" s="701"/>
      <c r="G374" s="701"/>
      <c r="H374" s="701"/>
      <c r="I374" s="701"/>
      <c r="J374" s="701">
        <v>1</v>
      </c>
      <c r="K374" s="701">
        <v>1575</v>
      </c>
      <c r="L374" s="701">
        <v>1</v>
      </c>
      <c r="M374" s="701">
        <v>1575</v>
      </c>
      <c r="N374" s="701"/>
      <c r="O374" s="701"/>
      <c r="P374" s="723"/>
      <c r="Q374" s="702"/>
    </row>
    <row r="375" spans="1:17" ht="14.4" customHeight="1" x14ac:dyDescent="0.3">
      <c r="A375" s="696" t="s">
        <v>4559</v>
      </c>
      <c r="B375" s="697" t="s">
        <v>3936</v>
      </c>
      <c r="C375" s="697" t="s">
        <v>2708</v>
      </c>
      <c r="D375" s="697" t="s">
        <v>4758</v>
      </c>
      <c r="E375" s="697" t="s">
        <v>4759</v>
      </c>
      <c r="F375" s="701">
        <v>3</v>
      </c>
      <c r="G375" s="701">
        <v>45780</v>
      </c>
      <c r="H375" s="701">
        <v>0.37495085834097758</v>
      </c>
      <c r="I375" s="701">
        <v>15260</v>
      </c>
      <c r="J375" s="701">
        <v>8</v>
      </c>
      <c r="K375" s="701">
        <v>122096</v>
      </c>
      <c r="L375" s="701">
        <v>1</v>
      </c>
      <c r="M375" s="701">
        <v>15262</v>
      </c>
      <c r="N375" s="701">
        <v>5</v>
      </c>
      <c r="O375" s="701">
        <v>76325</v>
      </c>
      <c r="P375" s="723">
        <v>0.62512285414755597</v>
      </c>
      <c r="Q375" s="702">
        <v>15265</v>
      </c>
    </row>
    <row r="376" spans="1:17" ht="14.4" customHeight="1" x14ac:dyDescent="0.3">
      <c r="A376" s="696" t="s">
        <v>4559</v>
      </c>
      <c r="B376" s="697" t="s">
        <v>3936</v>
      </c>
      <c r="C376" s="697" t="s">
        <v>2708</v>
      </c>
      <c r="D376" s="697" t="s">
        <v>4760</v>
      </c>
      <c r="E376" s="697" t="s">
        <v>4761</v>
      </c>
      <c r="F376" s="701">
        <v>74</v>
      </c>
      <c r="G376" s="701">
        <v>285640</v>
      </c>
      <c r="H376" s="701">
        <v>1.0422535211267605</v>
      </c>
      <c r="I376" s="701">
        <v>3860</v>
      </c>
      <c r="J376" s="701">
        <v>71</v>
      </c>
      <c r="K376" s="701">
        <v>274060</v>
      </c>
      <c r="L376" s="701">
        <v>1</v>
      </c>
      <c r="M376" s="701">
        <v>3860</v>
      </c>
      <c r="N376" s="701">
        <v>64</v>
      </c>
      <c r="O376" s="701">
        <v>247168</v>
      </c>
      <c r="P376" s="723">
        <v>0.9018755017149529</v>
      </c>
      <c r="Q376" s="702">
        <v>3862</v>
      </c>
    </row>
    <row r="377" spans="1:17" ht="14.4" customHeight="1" x14ac:dyDescent="0.3">
      <c r="A377" s="696" t="s">
        <v>4559</v>
      </c>
      <c r="B377" s="697" t="s">
        <v>3936</v>
      </c>
      <c r="C377" s="697" t="s">
        <v>2708</v>
      </c>
      <c r="D377" s="697" t="s">
        <v>4762</v>
      </c>
      <c r="E377" s="697" t="s">
        <v>4763</v>
      </c>
      <c r="F377" s="701">
        <v>2</v>
      </c>
      <c r="G377" s="701">
        <v>10420</v>
      </c>
      <c r="H377" s="701"/>
      <c r="I377" s="701">
        <v>5210</v>
      </c>
      <c r="J377" s="701"/>
      <c r="K377" s="701"/>
      <c r="L377" s="701"/>
      <c r="M377" s="701"/>
      <c r="N377" s="701"/>
      <c r="O377" s="701"/>
      <c r="P377" s="723"/>
      <c r="Q377" s="702"/>
    </row>
    <row r="378" spans="1:17" ht="14.4" customHeight="1" x14ac:dyDescent="0.3">
      <c r="A378" s="696" t="s">
        <v>4559</v>
      </c>
      <c r="B378" s="697" t="s">
        <v>3936</v>
      </c>
      <c r="C378" s="697" t="s">
        <v>2708</v>
      </c>
      <c r="D378" s="697" t="s">
        <v>4762</v>
      </c>
      <c r="E378" s="697" t="s">
        <v>4764</v>
      </c>
      <c r="F378" s="701"/>
      <c r="G378" s="701"/>
      <c r="H378" s="701"/>
      <c r="I378" s="701"/>
      <c r="J378" s="701">
        <v>4</v>
      </c>
      <c r="K378" s="701">
        <v>20840</v>
      </c>
      <c r="L378" s="701">
        <v>1</v>
      </c>
      <c r="M378" s="701">
        <v>5210</v>
      </c>
      <c r="N378" s="701"/>
      <c r="O378" s="701"/>
      <c r="P378" s="723"/>
      <c r="Q378" s="702"/>
    </row>
    <row r="379" spans="1:17" ht="14.4" customHeight="1" x14ac:dyDescent="0.3">
      <c r="A379" s="696" t="s">
        <v>4559</v>
      </c>
      <c r="B379" s="697" t="s">
        <v>3936</v>
      </c>
      <c r="C379" s="697" t="s">
        <v>2708</v>
      </c>
      <c r="D379" s="697" t="s">
        <v>4765</v>
      </c>
      <c r="E379" s="697" t="s">
        <v>4766</v>
      </c>
      <c r="F379" s="701">
        <v>49</v>
      </c>
      <c r="G379" s="701">
        <v>388325</v>
      </c>
      <c r="H379" s="701">
        <v>1.2248454453696695</v>
      </c>
      <c r="I379" s="701">
        <v>7925</v>
      </c>
      <c r="J379" s="701">
        <v>40</v>
      </c>
      <c r="K379" s="701">
        <v>317040</v>
      </c>
      <c r="L379" s="701">
        <v>1</v>
      </c>
      <c r="M379" s="701">
        <v>7926</v>
      </c>
      <c r="N379" s="701">
        <v>27</v>
      </c>
      <c r="O379" s="701">
        <v>214056</v>
      </c>
      <c r="P379" s="723">
        <v>0.67517032551097655</v>
      </c>
      <c r="Q379" s="702">
        <v>7928</v>
      </c>
    </row>
    <row r="380" spans="1:17" ht="14.4" customHeight="1" x14ac:dyDescent="0.3">
      <c r="A380" s="696" t="s">
        <v>4559</v>
      </c>
      <c r="B380" s="697" t="s">
        <v>3936</v>
      </c>
      <c r="C380" s="697" t="s">
        <v>2708</v>
      </c>
      <c r="D380" s="697" t="s">
        <v>4765</v>
      </c>
      <c r="E380" s="697" t="s">
        <v>4767</v>
      </c>
      <c r="F380" s="701">
        <v>2</v>
      </c>
      <c r="G380" s="701">
        <v>15850</v>
      </c>
      <c r="H380" s="701">
        <v>0.24996845823870806</v>
      </c>
      <c r="I380" s="701">
        <v>7925</v>
      </c>
      <c r="J380" s="701">
        <v>8</v>
      </c>
      <c r="K380" s="701">
        <v>63408</v>
      </c>
      <c r="L380" s="701">
        <v>1</v>
      </c>
      <c r="M380" s="701">
        <v>7926</v>
      </c>
      <c r="N380" s="701">
        <v>11</v>
      </c>
      <c r="O380" s="701">
        <v>87208</v>
      </c>
      <c r="P380" s="723">
        <v>1.3753469593742114</v>
      </c>
      <c r="Q380" s="702">
        <v>7928</v>
      </c>
    </row>
    <row r="381" spans="1:17" ht="14.4" customHeight="1" x14ac:dyDescent="0.3">
      <c r="A381" s="696" t="s">
        <v>4559</v>
      </c>
      <c r="B381" s="697" t="s">
        <v>3936</v>
      </c>
      <c r="C381" s="697" t="s">
        <v>2708</v>
      </c>
      <c r="D381" s="697" t="s">
        <v>4768</v>
      </c>
      <c r="E381" s="697" t="s">
        <v>4769</v>
      </c>
      <c r="F381" s="701">
        <v>4</v>
      </c>
      <c r="G381" s="701">
        <v>6808</v>
      </c>
      <c r="H381" s="701">
        <v>4</v>
      </c>
      <c r="I381" s="701">
        <v>1702</v>
      </c>
      <c r="J381" s="701">
        <v>1</v>
      </c>
      <c r="K381" s="701">
        <v>1702</v>
      </c>
      <c r="L381" s="701">
        <v>1</v>
      </c>
      <c r="M381" s="701">
        <v>1702</v>
      </c>
      <c r="N381" s="701"/>
      <c r="O381" s="701"/>
      <c r="P381" s="723"/>
      <c r="Q381" s="702"/>
    </row>
    <row r="382" spans="1:17" ht="14.4" customHeight="1" x14ac:dyDescent="0.3">
      <c r="A382" s="696" t="s">
        <v>4559</v>
      </c>
      <c r="B382" s="697" t="s">
        <v>3936</v>
      </c>
      <c r="C382" s="697" t="s">
        <v>2708</v>
      </c>
      <c r="D382" s="697" t="s">
        <v>4768</v>
      </c>
      <c r="E382" s="697" t="s">
        <v>4770</v>
      </c>
      <c r="F382" s="701"/>
      <c r="G382" s="701"/>
      <c r="H382" s="701"/>
      <c r="I382" s="701"/>
      <c r="J382" s="701"/>
      <c r="K382" s="701"/>
      <c r="L382" s="701"/>
      <c r="M382" s="701"/>
      <c r="N382" s="701">
        <v>3</v>
      </c>
      <c r="O382" s="701">
        <v>5112</v>
      </c>
      <c r="P382" s="723"/>
      <c r="Q382" s="702">
        <v>1704</v>
      </c>
    </row>
    <row r="383" spans="1:17" ht="14.4" customHeight="1" x14ac:dyDescent="0.3">
      <c r="A383" s="696" t="s">
        <v>4559</v>
      </c>
      <c r="B383" s="697" t="s">
        <v>3936</v>
      </c>
      <c r="C383" s="697" t="s">
        <v>2708</v>
      </c>
      <c r="D383" s="697" t="s">
        <v>4771</v>
      </c>
      <c r="E383" s="697" t="s">
        <v>4772</v>
      </c>
      <c r="F383" s="701">
        <v>56</v>
      </c>
      <c r="G383" s="701">
        <v>72408</v>
      </c>
      <c r="H383" s="701">
        <v>0.84782914149220179</v>
      </c>
      <c r="I383" s="701">
        <v>1293</v>
      </c>
      <c r="J383" s="701">
        <v>66</v>
      </c>
      <c r="K383" s="701">
        <v>85404</v>
      </c>
      <c r="L383" s="701">
        <v>1</v>
      </c>
      <c r="M383" s="701">
        <v>1294</v>
      </c>
      <c r="N383" s="701">
        <v>75</v>
      </c>
      <c r="O383" s="701">
        <v>97050</v>
      </c>
      <c r="P383" s="723">
        <v>1.1363636363636365</v>
      </c>
      <c r="Q383" s="702">
        <v>1294</v>
      </c>
    </row>
    <row r="384" spans="1:17" ht="14.4" customHeight="1" x14ac:dyDescent="0.3">
      <c r="A384" s="696" t="s">
        <v>4559</v>
      </c>
      <c r="B384" s="697" t="s">
        <v>3936</v>
      </c>
      <c r="C384" s="697" t="s">
        <v>2708</v>
      </c>
      <c r="D384" s="697" t="s">
        <v>4773</v>
      </c>
      <c r="E384" s="697" t="s">
        <v>4774</v>
      </c>
      <c r="F384" s="701">
        <v>43</v>
      </c>
      <c r="G384" s="701">
        <v>50611</v>
      </c>
      <c r="H384" s="701">
        <v>0.8592699490662139</v>
      </c>
      <c r="I384" s="701">
        <v>1177</v>
      </c>
      <c r="J384" s="701">
        <v>50</v>
      </c>
      <c r="K384" s="701">
        <v>58900</v>
      </c>
      <c r="L384" s="701">
        <v>1</v>
      </c>
      <c r="M384" s="701">
        <v>1178</v>
      </c>
      <c r="N384" s="701">
        <v>66</v>
      </c>
      <c r="O384" s="701">
        <v>77748</v>
      </c>
      <c r="P384" s="723">
        <v>1.32</v>
      </c>
      <c r="Q384" s="702">
        <v>1178</v>
      </c>
    </row>
    <row r="385" spans="1:17" ht="14.4" customHeight="1" x14ac:dyDescent="0.3">
      <c r="A385" s="696" t="s">
        <v>4559</v>
      </c>
      <c r="B385" s="697" t="s">
        <v>3936</v>
      </c>
      <c r="C385" s="697" t="s">
        <v>2708</v>
      </c>
      <c r="D385" s="697" t="s">
        <v>4775</v>
      </c>
      <c r="E385" s="697" t="s">
        <v>4776</v>
      </c>
      <c r="F385" s="701">
        <v>9</v>
      </c>
      <c r="G385" s="701">
        <v>46413</v>
      </c>
      <c r="H385" s="701">
        <v>0.81818181818181823</v>
      </c>
      <c r="I385" s="701">
        <v>5157</v>
      </c>
      <c r="J385" s="701">
        <v>11</v>
      </c>
      <c r="K385" s="701">
        <v>56727</v>
      </c>
      <c r="L385" s="701">
        <v>1</v>
      </c>
      <c r="M385" s="701">
        <v>5157</v>
      </c>
      <c r="N385" s="701">
        <v>6</v>
      </c>
      <c r="O385" s="701">
        <v>30947</v>
      </c>
      <c r="P385" s="723">
        <v>0.54554268690394347</v>
      </c>
      <c r="Q385" s="702">
        <v>5157.833333333333</v>
      </c>
    </row>
    <row r="386" spans="1:17" ht="14.4" customHeight="1" x14ac:dyDescent="0.3">
      <c r="A386" s="696" t="s">
        <v>4559</v>
      </c>
      <c r="B386" s="697" t="s">
        <v>3936</v>
      </c>
      <c r="C386" s="697" t="s">
        <v>2708</v>
      </c>
      <c r="D386" s="697" t="s">
        <v>4777</v>
      </c>
      <c r="E386" s="697" t="s">
        <v>4778</v>
      </c>
      <c r="F386" s="701">
        <v>1</v>
      </c>
      <c r="G386" s="701">
        <v>5620</v>
      </c>
      <c r="H386" s="701"/>
      <c r="I386" s="701">
        <v>5620</v>
      </c>
      <c r="J386" s="701"/>
      <c r="K386" s="701"/>
      <c r="L386" s="701"/>
      <c r="M386" s="701"/>
      <c r="N386" s="701"/>
      <c r="O386" s="701"/>
      <c r="P386" s="723"/>
      <c r="Q386" s="702"/>
    </row>
    <row r="387" spans="1:17" ht="14.4" customHeight="1" x14ac:dyDescent="0.3">
      <c r="A387" s="696" t="s">
        <v>4559</v>
      </c>
      <c r="B387" s="697" t="s">
        <v>3936</v>
      </c>
      <c r="C387" s="697" t="s">
        <v>2708</v>
      </c>
      <c r="D387" s="697" t="s">
        <v>4779</v>
      </c>
      <c r="E387" s="697" t="s">
        <v>4780</v>
      </c>
      <c r="F387" s="701">
        <v>5</v>
      </c>
      <c r="G387" s="701">
        <v>4000</v>
      </c>
      <c r="H387" s="701">
        <v>0.4161464835622139</v>
      </c>
      <c r="I387" s="701">
        <v>800</v>
      </c>
      <c r="J387" s="701">
        <v>12</v>
      </c>
      <c r="K387" s="701">
        <v>9612</v>
      </c>
      <c r="L387" s="701">
        <v>1</v>
      </c>
      <c r="M387" s="701">
        <v>801</v>
      </c>
      <c r="N387" s="701">
        <v>4</v>
      </c>
      <c r="O387" s="701">
        <v>3206</v>
      </c>
      <c r="P387" s="723">
        <v>0.33354140657511444</v>
      </c>
      <c r="Q387" s="702">
        <v>801.5</v>
      </c>
    </row>
    <row r="388" spans="1:17" ht="14.4" customHeight="1" x14ac:dyDescent="0.3">
      <c r="A388" s="696" t="s">
        <v>4559</v>
      </c>
      <c r="B388" s="697" t="s">
        <v>3936</v>
      </c>
      <c r="C388" s="697" t="s">
        <v>2708</v>
      </c>
      <c r="D388" s="697" t="s">
        <v>4781</v>
      </c>
      <c r="E388" s="697" t="s">
        <v>4782</v>
      </c>
      <c r="F388" s="701">
        <v>928</v>
      </c>
      <c r="G388" s="701">
        <v>164256</v>
      </c>
      <c r="H388" s="701">
        <v>1.0509626274065684</v>
      </c>
      <c r="I388" s="701">
        <v>177</v>
      </c>
      <c r="J388" s="701">
        <v>883</v>
      </c>
      <c r="K388" s="701">
        <v>156291</v>
      </c>
      <c r="L388" s="701">
        <v>1</v>
      </c>
      <c r="M388" s="701">
        <v>177</v>
      </c>
      <c r="N388" s="701">
        <v>856</v>
      </c>
      <c r="O388" s="701">
        <v>152368</v>
      </c>
      <c r="P388" s="723">
        <v>0.97489938640100837</v>
      </c>
      <c r="Q388" s="702">
        <v>178</v>
      </c>
    </row>
    <row r="389" spans="1:17" ht="14.4" customHeight="1" x14ac:dyDescent="0.3">
      <c r="A389" s="696" t="s">
        <v>4559</v>
      </c>
      <c r="B389" s="697" t="s">
        <v>3936</v>
      </c>
      <c r="C389" s="697" t="s">
        <v>2708</v>
      </c>
      <c r="D389" s="697" t="s">
        <v>4781</v>
      </c>
      <c r="E389" s="697" t="s">
        <v>4783</v>
      </c>
      <c r="F389" s="701">
        <v>47</v>
      </c>
      <c r="G389" s="701">
        <v>8319</v>
      </c>
      <c r="H389" s="701">
        <v>0.82456140350877194</v>
      </c>
      <c r="I389" s="701">
        <v>177</v>
      </c>
      <c r="J389" s="701">
        <v>57</v>
      </c>
      <c r="K389" s="701">
        <v>10089</v>
      </c>
      <c r="L389" s="701">
        <v>1</v>
      </c>
      <c r="M389" s="701">
        <v>177</v>
      </c>
      <c r="N389" s="701">
        <v>49</v>
      </c>
      <c r="O389" s="701">
        <v>8722</v>
      </c>
      <c r="P389" s="723">
        <v>0.86450589751214191</v>
      </c>
      <c r="Q389" s="702">
        <v>178</v>
      </c>
    </row>
    <row r="390" spans="1:17" ht="14.4" customHeight="1" x14ac:dyDescent="0.3">
      <c r="A390" s="696" t="s">
        <v>4559</v>
      </c>
      <c r="B390" s="697" t="s">
        <v>3936</v>
      </c>
      <c r="C390" s="697" t="s">
        <v>2708</v>
      </c>
      <c r="D390" s="697" t="s">
        <v>4784</v>
      </c>
      <c r="E390" s="697" t="s">
        <v>4785</v>
      </c>
      <c r="F390" s="701">
        <v>76</v>
      </c>
      <c r="G390" s="701">
        <v>155648</v>
      </c>
      <c r="H390" s="701">
        <v>1.0550403991106774</v>
      </c>
      <c r="I390" s="701">
        <v>2048</v>
      </c>
      <c r="J390" s="701">
        <v>72</v>
      </c>
      <c r="K390" s="701">
        <v>147528</v>
      </c>
      <c r="L390" s="701">
        <v>1</v>
      </c>
      <c r="M390" s="701">
        <v>2049</v>
      </c>
      <c r="N390" s="701">
        <v>51</v>
      </c>
      <c r="O390" s="701">
        <v>104550</v>
      </c>
      <c r="P390" s="723">
        <v>0.70867903042134373</v>
      </c>
      <c r="Q390" s="702">
        <v>2050</v>
      </c>
    </row>
    <row r="391" spans="1:17" ht="14.4" customHeight="1" x14ac:dyDescent="0.3">
      <c r="A391" s="696" t="s">
        <v>4559</v>
      </c>
      <c r="B391" s="697" t="s">
        <v>3936</v>
      </c>
      <c r="C391" s="697" t="s">
        <v>2708</v>
      </c>
      <c r="D391" s="697" t="s">
        <v>4786</v>
      </c>
      <c r="E391" s="697" t="s">
        <v>4787</v>
      </c>
      <c r="F391" s="701">
        <v>1</v>
      </c>
      <c r="G391" s="701">
        <v>2736</v>
      </c>
      <c r="H391" s="701">
        <v>0.24990865911582025</v>
      </c>
      <c r="I391" s="701">
        <v>2736</v>
      </c>
      <c r="J391" s="701">
        <v>4</v>
      </c>
      <c r="K391" s="701">
        <v>10948</v>
      </c>
      <c r="L391" s="701">
        <v>1</v>
      </c>
      <c r="M391" s="701">
        <v>2737</v>
      </c>
      <c r="N391" s="701">
        <v>1</v>
      </c>
      <c r="O391" s="701">
        <v>2737</v>
      </c>
      <c r="P391" s="723">
        <v>0.25</v>
      </c>
      <c r="Q391" s="702">
        <v>2737</v>
      </c>
    </row>
    <row r="392" spans="1:17" ht="14.4" customHeight="1" x14ac:dyDescent="0.3">
      <c r="A392" s="696" t="s">
        <v>4559</v>
      </c>
      <c r="B392" s="697" t="s">
        <v>3936</v>
      </c>
      <c r="C392" s="697" t="s">
        <v>2708</v>
      </c>
      <c r="D392" s="697" t="s">
        <v>4786</v>
      </c>
      <c r="E392" s="697" t="s">
        <v>4788</v>
      </c>
      <c r="F392" s="701">
        <v>1</v>
      </c>
      <c r="G392" s="701">
        <v>2736</v>
      </c>
      <c r="H392" s="701">
        <v>0.99963463646328099</v>
      </c>
      <c r="I392" s="701">
        <v>2736</v>
      </c>
      <c r="J392" s="701">
        <v>1</v>
      </c>
      <c r="K392" s="701">
        <v>2737</v>
      </c>
      <c r="L392" s="701">
        <v>1</v>
      </c>
      <c r="M392" s="701">
        <v>2737</v>
      </c>
      <c r="N392" s="701"/>
      <c r="O392" s="701"/>
      <c r="P392" s="723"/>
      <c r="Q392" s="702"/>
    </row>
    <row r="393" spans="1:17" ht="14.4" customHeight="1" x14ac:dyDescent="0.3">
      <c r="A393" s="696" t="s">
        <v>4559</v>
      </c>
      <c r="B393" s="697" t="s">
        <v>3936</v>
      </c>
      <c r="C393" s="697" t="s">
        <v>2708</v>
      </c>
      <c r="D393" s="697" t="s">
        <v>4789</v>
      </c>
      <c r="E393" s="697" t="s">
        <v>4790</v>
      </c>
      <c r="F393" s="701"/>
      <c r="G393" s="701"/>
      <c r="H393" s="701"/>
      <c r="I393" s="701"/>
      <c r="J393" s="701">
        <v>3</v>
      </c>
      <c r="K393" s="701">
        <v>15807</v>
      </c>
      <c r="L393" s="701">
        <v>1</v>
      </c>
      <c r="M393" s="701">
        <v>5269</v>
      </c>
      <c r="N393" s="701">
        <v>1</v>
      </c>
      <c r="O393" s="701">
        <v>5269</v>
      </c>
      <c r="P393" s="723">
        <v>0.33333333333333331</v>
      </c>
      <c r="Q393" s="702">
        <v>5269</v>
      </c>
    </row>
    <row r="394" spans="1:17" ht="14.4" customHeight="1" x14ac:dyDescent="0.3">
      <c r="A394" s="696" t="s">
        <v>4559</v>
      </c>
      <c r="B394" s="697" t="s">
        <v>3936</v>
      </c>
      <c r="C394" s="697" t="s">
        <v>2708</v>
      </c>
      <c r="D394" s="697" t="s">
        <v>4791</v>
      </c>
      <c r="E394" s="697" t="s">
        <v>4792</v>
      </c>
      <c r="F394" s="701">
        <v>2</v>
      </c>
      <c r="G394" s="701">
        <v>1348</v>
      </c>
      <c r="H394" s="701">
        <v>1.9970370370370369</v>
      </c>
      <c r="I394" s="701">
        <v>674</v>
      </c>
      <c r="J394" s="701">
        <v>1</v>
      </c>
      <c r="K394" s="701">
        <v>675</v>
      </c>
      <c r="L394" s="701">
        <v>1</v>
      </c>
      <c r="M394" s="701">
        <v>675</v>
      </c>
      <c r="N394" s="701">
        <v>2</v>
      </c>
      <c r="O394" s="701">
        <v>1350</v>
      </c>
      <c r="P394" s="723">
        <v>2</v>
      </c>
      <c r="Q394" s="702">
        <v>675</v>
      </c>
    </row>
    <row r="395" spans="1:17" ht="14.4" customHeight="1" x14ac:dyDescent="0.3">
      <c r="A395" s="696" t="s">
        <v>4559</v>
      </c>
      <c r="B395" s="697" t="s">
        <v>3936</v>
      </c>
      <c r="C395" s="697" t="s">
        <v>2708</v>
      </c>
      <c r="D395" s="697" t="s">
        <v>4791</v>
      </c>
      <c r="E395" s="697" t="s">
        <v>4793</v>
      </c>
      <c r="F395" s="701">
        <v>1</v>
      </c>
      <c r="G395" s="701">
        <v>674</v>
      </c>
      <c r="H395" s="701">
        <v>0.99851851851851847</v>
      </c>
      <c r="I395" s="701">
        <v>674</v>
      </c>
      <c r="J395" s="701">
        <v>1</v>
      </c>
      <c r="K395" s="701">
        <v>675</v>
      </c>
      <c r="L395" s="701">
        <v>1</v>
      </c>
      <c r="M395" s="701">
        <v>675</v>
      </c>
      <c r="N395" s="701">
        <v>2</v>
      </c>
      <c r="O395" s="701">
        <v>1350</v>
      </c>
      <c r="P395" s="723">
        <v>2</v>
      </c>
      <c r="Q395" s="702">
        <v>675</v>
      </c>
    </row>
    <row r="396" spans="1:17" ht="14.4" customHeight="1" x14ac:dyDescent="0.3">
      <c r="A396" s="696" t="s">
        <v>4559</v>
      </c>
      <c r="B396" s="697" t="s">
        <v>3936</v>
      </c>
      <c r="C396" s="697" t="s">
        <v>2708</v>
      </c>
      <c r="D396" s="697" t="s">
        <v>4794</v>
      </c>
      <c r="E396" s="697" t="s">
        <v>4795</v>
      </c>
      <c r="F396" s="701">
        <v>4</v>
      </c>
      <c r="G396" s="701">
        <v>8452</v>
      </c>
      <c r="H396" s="701"/>
      <c r="I396" s="701">
        <v>2113</v>
      </c>
      <c r="J396" s="701"/>
      <c r="K396" s="701"/>
      <c r="L396" s="701"/>
      <c r="M396" s="701"/>
      <c r="N396" s="701">
        <v>3</v>
      </c>
      <c r="O396" s="701">
        <v>6342</v>
      </c>
      <c r="P396" s="723"/>
      <c r="Q396" s="702">
        <v>2114</v>
      </c>
    </row>
    <row r="397" spans="1:17" ht="14.4" customHeight="1" x14ac:dyDescent="0.3">
      <c r="A397" s="696" t="s">
        <v>4559</v>
      </c>
      <c r="B397" s="697" t="s">
        <v>3936</v>
      </c>
      <c r="C397" s="697" t="s">
        <v>2708</v>
      </c>
      <c r="D397" s="697" t="s">
        <v>4794</v>
      </c>
      <c r="E397" s="697" t="s">
        <v>4796</v>
      </c>
      <c r="F397" s="701">
        <v>1</v>
      </c>
      <c r="G397" s="701">
        <v>2113</v>
      </c>
      <c r="H397" s="701">
        <v>8.3333333333333329E-2</v>
      </c>
      <c r="I397" s="701">
        <v>2113</v>
      </c>
      <c r="J397" s="701">
        <v>12</v>
      </c>
      <c r="K397" s="701">
        <v>25356</v>
      </c>
      <c r="L397" s="701">
        <v>1</v>
      </c>
      <c r="M397" s="701">
        <v>2113</v>
      </c>
      <c r="N397" s="701">
        <v>11</v>
      </c>
      <c r="O397" s="701">
        <v>23254</v>
      </c>
      <c r="P397" s="723">
        <v>0.91710048903612562</v>
      </c>
      <c r="Q397" s="702">
        <v>2114</v>
      </c>
    </row>
    <row r="398" spans="1:17" ht="14.4" customHeight="1" x14ac:dyDescent="0.3">
      <c r="A398" s="696" t="s">
        <v>4559</v>
      </c>
      <c r="B398" s="697" t="s">
        <v>3936</v>
      </c>
      <c r="C398" s="697" t="s">
        <v>2708</v>
      </c>
      <c r="D398" s="697" t="s">
        <v>4797</v>
      </c>
      <c r="E398" s="697" t="s">
        <v>4798</v>
      </c>
      <c r="F398" s="701">
        <v>13</v>
      </c>
      <c r="G398" s="701">
        <v>2015</v>
      </c>
      <c r="H398" s="701">
        <v>2.6</v>
      </c>
      <c r="I398" s="701">
        <v>155</v>
      </c>
      <c r="J398" s="701">
        <v>5</v>
      </c>
      <c r="K398" s="701">
        <v>775</v>
      </c>
      <c r="L398" s="701">
        <v>1</v>
      </c>
      <c r="M398" s="701">
        <v>155</v>
      </c>
      <c r="N398" s="701">
        <v>9</v>
      </c>
      <c r="O398" s="701">
        <v>1395</v>
      </c>
      <c r="P398" s="723">
        <v>1.8</v>
      </c>
      <c r="Q398" s="702">
        <v>155</v>
      </c>
    </row>
    <row r="399" spans="1:17" ht="14.4" customHeight="1" x14ac:dyDescent="0.3">
      <c r="A399" s="696" t="s">
        <v>4559</v>
      </c>
      <c r="B399" s="697" t="s">
        <v>3936</v>
      </c>
      <c r="C399" s="697" t="s">
        <v>2708</v>
      </c>
      <c r="D399" s="697" t="s">
        <v>4797</v>
      </c>
      <c r="E399" s="697" t="s">
        <v>4799</v>
      </c>
      <c r="F399" s="701">
        <v>7</v>
      </c>
      <c r="G399" s="701">
        <v>1085</v>
      </c>
      <c r="H399" s="701"/>
      <c r="I399" s="701">
        <v>155</v>
      </c>
      <c r="J399" s="701"/>
      <c r="K399" s="701"/>
      <c r="L399" s="701"/>
      <c r="M399" s="701"/>
      <c r="N399" s="701">
        <v>1</v>
      </c>
      <c r="O399" s="701">
        <v>155</v>
      </c>
      <c r="P399" s="723"/>
      <c r="Q399" s="702">
        <v>155</v>
      </c>
    </row>
    <row r="400" spans="1:17" ht="14.4" customHeight="1" x14ac:dyDescent="0.3">
      <c r="A400" s="696" t="s">
        <v>4559</v>
      </c>
      <c r="B400" s="697" t="s">
        <v>3936</v>
      </c>
      <c r="C400" s="697" t="s">
        <v>2708</v>
      </c>
      <c r="D400" s="697" t="s">
        <v>4800</v>
      </c>
      <c r="E400" s="697" t="s">
        <v>4801</v>
      </c>
      <c r="F400" s="701">
        <v>1</v>
      </c>
      <c r="G400" s="701">
        <v>199</v>
      </c>
      <c r="H400" s="701"/>
      <c r="I400" s="701">
        <v>199</v>
      </c>
      <c r="J400" s="701"/>
      <c r="K400" s="701"/>
      <c r="L400" s="701"/>
      <c r="M400" s="701"/>
      <c r="N400" s="701"/>
      <c r="O400" s="701"/>
      <c r="P400" s="723"/>
      <c r="Q400" s="702"/>
    </row>
    <row r="401" spans="1:17" ht="14.4" customHeight="1" x14ac:dyDescent="0.3">
      <c r="A401" s="696" t="s">
        <v>4559</v>
      </c>
      <c r="B401" s="697" t="s">
        <v>3936</v>
      </c>
      <c r="C401" s="697" t="s">
        <v>2708</v>
      </c>
      <c r="D401" s="697" t="s">
        <v>4800</v>
      </c>
      <c r="E401" s="697" t="s">
        <v>4802</v>
      </c>
      <c r="F401" s="701">
        <v>2</v>
      </c>
      <c r="G401" s="701">
        <v>398</v>
      </c>
      <c r="H401" s="701">
        <v>0.66666666666666663</v>
      </c>
      <c r="I401" s="701">
        <v>199</v>
      </c>
      <c r="J401" s="701">
        <v>3</v>
      </c>
      <c r="K401" s="701">
        <v>597</v>
      </c>
      <c r="L401" s="701">
        <v>1</v>
      </c>
      <c r="M401" s="701">
        <v>199</v>
      </c>
      <c r="N401" s="701">
        <v>3</v>
      </c>
      <c r="O401" s="701">
        <v>600</v>
      </c>
      <c r="P401" s="723">
        <v>1.0050251256281406</v>
      </c>
      <c r="Q401" s="702">
        <v>200</v>
      </c>
    </row>
    <row r="402" spans="1:17" ht="14.4" customHeight="1" x14ac:dyDescent="0.3">
      <c r="A402" s="696" t="s">
        <v>4559</v>
      </c>
      <c r="B402" s="697" t="s">
        <v>3936</v>
      </c>
      <c r="C402" s="697" t="s">
        <v>2708</v>
      </c>
      <c r="D402" s="697" t="s">
        <v>4803</v>
      </c>
      <c r="E402" s="697" t="s">
        <v>4804</v>
      </c>
      <c r="F402" s="701">
        <v>546</v>
      </c>
      <c r="G402" s="701">
        <v>111384</v>
      </c>
      <c r="H402" s="701">
        <v>1.5826086956521739</v>
      </c>
      <c r="I402" s="701">
        <v>204</v>
      </c>
      <c r="J402" s="701">
        <v>345</v>
      </c>
      <c r="K402" s="701">
        <v>70380</v>
      </c>
      <c r="L402" s="701">
        <v>1</v>
      </c>
      <c r="M402" s="701">
        <v>204</v>
      </c>
      <c r="N402" s="701">
        <v>299</v>
      </c>
      <c r="O402" s="701">
        <v>61404</v>
      </c>
      <c r="P402" s="723">
        <v>0.87246376811594206</v>
      </c>
      <c r="Q402" s="702">
        <v>205.36454849498327</v>
      </c>
    </row>
    <row r="403" spans="1:17" ht="14.4" customHeight="1" x14ac:dyDescent="0.3">
      <c r="A403" s="696" t="s">
        <v>4559</v>
      </c>
      <c r="B403" s="697" t="s">
        <v>3936</v>
      </c>
      <c r="C403" s="697" t="s">
        <v>2708</v>
      </c>
      <c r="D403" s="697" t="s">
        <v>4805</v>
      </c>
      <c r="E403" s="697" t="s">
        <v>4806</v>
      </c>
      <c r="F403" s="701">
        <v>5</v>
      </c>
      <c r="G403" s="701">
        <v>2130</v>
      </c>
      <c r="H403" s="701">
        <v>0.83333333333333337</v>
      </c>
      <c r="I403" s="701">
        <v>426</v>
      </c>
      <c r="J403" s="701">
        <v>6</v>
      </c>
      <c r="K403" s="701">
        <v>2556</v>
      </c>
      <c r="L403" s="701">
        <v>1</v>
      </c>
      <c r="M403" s="701">
        <v>426</v>
      </c>
      <c r="N403" s="701">
        <v>5</v>
      </c>
      <c r="O403" s="701">
        <v>2135</v>
      </c>
      <c r="P403" s="723">
        <v>0.83528951486697967</v>
      </c>
      <c r="Q403" s="702">
        <v>427</v>
      </c>
    </row>
    <row r="404" spans="1:17" ht="14.4" customHeight="1" x14ac:dyDescent="0.3">
      <c r="A404" s="696" t="s">
        <v>4559</v>
      </c>
      <c r="B404" s="697" t="s">
        <v>3936</v>
      </c>
      <c r="C404" s="697" t="s">
        <v>2708</v>
      </c>
      <c r="D404" s="697" t="s">
        <v>4805</v>
      </c>
      <c r="E404" s="697" t="s">
        <v>4807</v>
      </c>
      <c r="F404" s="701">
        <v>2</v>
      </c>
      <c r="G404" s="701">
        <v>852</v>
      </c>
      <c r="H404" s="701">
        <v>1</v>
      </c>
      <c r="I404" s="701">
        <v>426</v>
      </c>
      <c r="J404" s="701">
        <v>2</v>
      </c>
      <c r="K404" s="701">
        <v>852</v>
      </c>
      <c r="L404" s="701">
        <v>1</v>
      </c>
      <c r="M404" s="701">
        <v>426</v>
      </c>
      <c r="N404" s="701">
        <v>3</v>
      </c>
      <c r="O404" s="701">
        <v>1281</v>
      </c>
      <c r="P404" s="723">
        <v>1.5035211267605635</v>
      </c>
      <c r="Q404" s="702">
        <v>427</v>
      </c>
    </row>
    <row r="405" spans="1:17" ht="14.4" customHeight="1" x14ac:dyDescent="0.3">
      <c r="A405" s="696" t="s">
        <v>4559</v>
      </c>
      <c r="B405" s="697" t="s">
        <v>3936</v>
      </c>
      <c r="C405" s="697" t="s">
        <v>2708</v>
      </c>
      <c r="D405" s="697" t="s">
        <v>4808</v>
      </c>
      <c r="E405" s="697" t="s">
        <v>4809</v>
      </c>
      <c r="F405" s="701">
        <v>1</v>
      </c>
      <c r="G405" s="701">
        <v>163</v>
      </c>
      <c r="H405" s="701"/>
      <c r="I405" s="701">
        <v>163</v>
      </c>
      <c r="J405" s="701"/>
      <c r="K405" s="701"/>
      <c r="L405" s="701"/>
      <c r="M405" s="701"/>
      <c r="N405" s="701">
        <v>1</v>
      </c>
      <c r="O405" s="701">
        <v>163</v>
      </c>
      <c r="P405" s="723"/>
      <c r="Q405" s="702">
        <v>163</v>
      </c>
    </row>
    <row r="406" spans="1:17" ht="14.4" customHeight="1" x14ac:dyDescent="0.3">
      <c r="A406" s="696" t="s">
        <v>4559</v>
      </c>
      <c r="B406" s="697" t="s">
        <v>3936</v>
      </c>
      <c r="C406" s="697" t="s">
        <v>2708</v>
      </c>
      <c r="D406" s="697" t="s">
        <v>4808</v>
      </c>
      <c r="E406" s="697" t="s">
        <v>4810</v>
      </c>
      <c r="F406" s="701"/>
      <c r="G406" s="701"/>
      <c r="H406" s="701"/>
      <c r="I406" s="701"/>
      <c r="J406" s="701">
        <v>2</v>
      </c>
      <c r="K406" s="701">
        <v>326</v>
      </c>
      <c r="L406" s="701">
        <v>1</v>
      </c>
      <c r="M406" s="701">
        <v>163</v>
      </c>
      <c r="N406" s="701"/>
      <c r="O406" s="701"/>
      <c r="P406" s="723"/>
      <c r="Q406" s="702"/>
    </row>
    <row r="407" spans="1:17" ht="14.4" customHeight="1" x14ac:dyDescent="0.3">
      <c r="A407" s="696" t="s">
        <v>4559</v>
      </c>
      <c r="B407" s="697" t="s">
        <v>3936</v>
      </c>
      <c r="C407" s="697" t="s">
        <v>2708</v>
      </c>
      <c r="D407" s="697" t="s">
        <v>4811</v>
      </c>
      <c r="E407" s="697" t="s">
        <v>4812</v>
      </c>
      <c r="F407" s="701">
        <v>3</v>
      </c>
      <c r="G407" s="701">
        <v>1308</v>
      </c>
      <c r="H407" s="701">
        <v>0.75</v>
      </c>
      <c r="I407" s="701">
        <v>436</v>
      </c>
      <c r="J407" s="701">
        <v>4</v>
      </c>
      <c r="K407" s="701">
        <v>1744</v>
      </c>
      <c r="L407" s="701">
        <v>1</v>
      </c>
      <c r="M407" s="701">
        <v>436</v>
      </c>
      <c r="N407" s="701"/>
      <c r="O407" s="701"/>
      <c r="P407" s="723"/>
      <c r="Q407" s="702"/>
    </row>
    <row r="408" spans="1:17" ht="14.4" customHeight="1" x14ac:dyDescent="0.3">
      <c r="A408" s="696" t="s">
        <v>4559</v>
      </c>
      <c r="B408" s="697" t="s">
        <v>3936</v>
      </c>
      <c r="C408" s="697" t="s">
        <v>2708</v>
      </c>
      <c r="D408" s="697" t="s">
        <v>4811</v>
      </c>
      <c r="E408" s="697" t="s">
        <v>4813</v>
      </c>
      <c r="F408" s="701">
        <v>2</v>
      </c>
      <c r="G408" s="701">
        <v>872</v>
      </c>
      <c r="H408" s="701"/>
      <c r="I408" s="701">
        <v>436</v>
      </c>
      <c r="J408" s="701"/>
      <c r="K408" s="701"/>
      <c r="L408" s="701"/>
      <c r="M408" s="701"/>
      <c r="N408" s="701">
        <v>2</v>
      </c>
      <c r="O408" s="701">
        <v>874</v>
      </c>
      <c r="P408" s="723"/>
      <c r="Q408" s="702">
        <v>437</v>
      </c>
    </row>
    <row r="409" spans="1:17" ht="14.4" customHeight="1" x14ac:dyDescent="0.3">
      <c r="A409" s="696" t="s">
        <v>4559</v>
      </c>
      <c r="B409" s="697" t="s">
        <v>3936</v>
      </c>
      <c r="C409" s="697" t="s">
        <v>2708</v>
      </c>
      <c r="D409" s="697" t="s">
        <v>4814</v>
      </c>
      <c r="E409" s="697" t="s">
        <v>4815</v>
      </c>
      <c r="F409" s="701">
        <v>22</v>
      </c>
      <c r="G409" s="701">
        <v>47388</v>
      </c>
      <c r="H409" s="701">
        <v>0.70934810268692461</v>
      </c>
      <c r="I409" s="701">
        <v>2154</v>
      </c>
      <c r="J409" s="701">
        <v>31</v>
      </c>
      <c r="K409" s="701">
        <v>66805</v>
      </c>
      <c r="L409" s="701">
        <v>1</v>
      </c>
      <c r="M409" s="701">
        <v>2155</v>
      </c>
      <c r="N409" s="701">
        <v>35</v>
      </c>
      <c r="O409" s="701">
        <v>75460</v>
      </c>
      <c r="P409" s="723">
        <v>1.1295561709452886</v>
      </c>
      <c r="Q409" s="702">
        <v>2156</v>
      </c>
    </row>
    <row r="410" spans="1:17" ht="14.4" customHeight="1" x14ac:dyDescent="0.3">
      <c r="A410" s="696" t="s">
        <v>4559</v>
      </c>
      <c r="B410" s="697" t="s">
        <v>3936</v>
      </c>
      <c r="C410" s="697" t="s">
        <v>2708</v>
      </c>
      <c r="D410" s="697" t="s">
        <v>4814</v>
      </c>
      <c r="E410" s="697" t="s">
        <v>4816</v>
      </c>
      <c r="F410" s="701">
        <v>149</v>
      </c>
      <c r="G410" s="701">
        <v>320946</v>
      </c>
      <c r="H410" s="701">
        <v>1.2729133202451068</v>
      </c>
      <c r="I410" s="701">
        <v>2154</v>
      </c>
      <c r="J410" s="701">
        <v>117</v>
      </c>
      <c r="K410" s="701">
        <v>252135</v>
      </c>
      <c r="L410" s="701">
        <v>1</v>
      </c>
      <c r="M410" s="701">
        <v>2155</v>
      </c>
      <c r="N410" s="701">
        <v>88</v>
      </c>
      <c r="O410" s="701">
        <v>189728</v>
      </c>
      <c r="P410" s="723">
        <v>0.75248577151129359</v>
      </c>
      <c r="Q410" s="702">
        <v>2156</v>
      </c>
    </row>
    <row r="411" spans="1:17" ht="14.4" customHeight="1" x14ac:dyDescent="0.3">
      <c r="A411" s="696" t="s">
        <v>4559</v>
      </c>
      <c r="B411" s="697" t="s">
        <v>3936</v>
      </c>
      <c r="C411" s="697" t="s">
        <v>2708</v>
      </c>
      <c r="D411" s="697" t="s">
        <v>4817</v>
      </c>
      <c r="E411" s="697" t="s">
        <v>4761</v>
      </c>
      <c r="F411" s="701">
        <v>101</v>
      </c>
      <c r="G411" s="701">
        <v>190688</v>
      </c>
      <c r="H411" s="701">
        <v>1.0738992825203022</v>
      </c>
      <c r="I411" s="701">
        <v>1888</v>
      </c>
      <c r="J411" s="701">
        <v>94</v>
      </c>
      <c r="K411" s="701">
        <v>177566</v>
      </c>
      <c r="L411" s="701">
        <v>1</v>
      </c>
      <c r="M411" s="701">
        <v>1889</v>
      </c>
      <c r="N411" s="701">
        <v>69</v>
      </c>
      <c r="O411" s="701">
        <v>130341</v>
      </c>
      <c r="P411" s="723">
        <v>0.73404255319148937</v>
      </c>
      <c r="Q411" s="702">
        <v>1889</v>
      </c>
    </row>
    <row r="412" spans="1:17" ht="14.4" customHeight="1" x14ac:dyDescent="0.3">
      <c r="A412" s="696" t="s">
        <v>4559</v>
      </c>
      <c r="B412" s="697" t="s">
        <v>3936</v>
      </c>
      <c r="C412" s="697" t="s">
        <v>2708</v>
      </c>
      <c r="D412" s="697" t="s">
        <v>4818</v>
      </c>
      <c r="E412" s="697" t="s">
        <v>4819</v>
      </c>
      <c r="F412" s="701"/>
      <c r="G412" s="701"/>
      <c r="H412" s="701"/>
      <c r="I412" s="701"/>
      <c r="J412" s="701">
        <v>1</v>
      </c>
      <c r="K412" s="701">
        <v>163</v>
      </c>
      <c r="L412" s="701">
        <v>1</v>
      </c>
      <c r="M412" s="701">
        <v>163</v>
      </c>
      <c r="N412" s="701"/>
      <c r="O412" s="701"/>
      <c r="P412" s="723"/>
      <c r="Q412" s="702"/>
    </row>
    <row r="413" spans="1:17" ht="14.4" customHeight="1" x14ac:dyDescent="0.3">
      <c r="A413" s="696" t="s">
        <v>4559</v>
      </c>
      <c r="B413" s="697" t="s">
        <v>3936</v>
      </c>
      <c r="C413" s="697" t="s">
        <v>2708</v>
      </c>
      <c r="D413" s="697" t="s">
        <v>4820</v>
      </c>
      <c r="E413" s="697" t="s">
        <v>4821</v>
      </c>
      <c r="F413" s="701">
        <v>2</v>
      </c>
      <c r="G413" s="701">
        <v>1866</v>
      </c>
      <c r="H413" s="701"/>
      <c r="I413" s="701">
        <v>933</v>
      </c>
      <c r="J413" s="701"/>
      <c r="K413" s="701"/>
      <c r="L413" s="701"/>
      <c r="M413" s="701"/>
      <c r="N413" s="701">
        <v>1</v>
      </c>
      <c r="O413" s="701">
        <v>935</v>
      </c>
      <c r="P413" s="723"/>
      <c r="Q413" s="702">
        <v>935</v>
      </c>
    </row>
    <row r="414" spans="1:17" ht="14.4" customHeight="1" x14ac:dyDescent="0.3">
      <c r="A414" s="696" t="s">
        <v>4559</v>
      </c>
      <c r="B414" s="697" t="s">
        <v>3936</v>
      </c>
      <c r="C414" s="697" t="s">
        <v>2708</v>
      </c>
      <c r="D414" s="697" t="s">
        <v>4820</v>
      </c>
      <c r="E414" s="697" t="s">
        <v>4822</v>
      </c>
      <c r="F414" s="701">
        <v>1</v>
      </c>
      <c r="G414" s="701">
        <v>933</v>
      </c>
      <c r="H414" s="701">
        <v>0.99892933618843682</v>
      </c>
      <c r="I414" s="701">
        <v>933</v>
      </c>
      <c r="J414" s="701">
        <v>1</v>
      </c>
      <c r="K414" s="701">
        <v>934</v>
      </c>
      <c r="L414" s="701">
        <v>1</v>
      </c>
      <c r="M414" s="701">
        <v>934</v>
      </c>
      <c r="N414" s="701"/>
      <c r="O414" s="701"/>
      <c r="P414" s="723"/>
      <c r="Q414" s="702"/>
    </row>
    <row r="415" spans="1:17" ht="14.4" customHeight="1" x14ac:dyDescent="0.3">
      <c r="A415" s="696" t="s">
        <v>4559</v>
      </c>
      <c r="B415" s="697" t="s">
        <v>3936</v>
      </c>
      <c r="C415" s="697" t="s">
        <v>2708</v>
      </c>
      <c r="D415" s="697" t="s">
        <v>4823</v>
      </c>
      <c r="E415" s="697" t="s">
        <v>4824</v>
      </c>
      <c r="F415" s="701">
        <v>2</v>
      </c>
      <c r="G415" s="701">
        <v>16918</v>
      </c>
      <c r="H415" s="701">
        <v>0.28568051334008782</v>
      </c>
      <c r="I415" s="701">
        <v>8459</v>
      </c>
      <c r="J415" s="701">
        <v>7</v>
      </c>
      <c r="K415" s="701">
        <v>59220</v>
      </c>
      <c r="L415" s="701">
        <v>1</v>
      </c>
      <c r="M415" s="701">
        <v>8460</v>
      </c>
      <c r="N415" s="701">
        <v>11</v>
      </c>
      <c r="O415" s="701">
        <v>93082</v>
      </c>
      <c r="P415" s="723">
        <v>1.5718000675447483</v>
      </c>
      <c r="Q415" s="702">
        <v>8462</v>
      </c>
    </row>
    <row r="416" spans="1:17" ht="14.4" customHeight="1" x14ac:dyDescent="0.3">
      <c r="A416" s="696" t="s">
        <v>4559</v>
      </c>
      <c r="B416" s="697" t="s">
        <v>3936</v>
      </c>
      <c r="C416" s="697" t="s">
        <v>2708</v>
      </c>
      <c r="D416" s="697" t="s">
        <v>4823</v>
      </c>
      <c r="E416" s="697" t="s">
        <v>4825</v>
      </c>
      <c r="F416" s="701">
        <v>56</v>
      </c>
      <c r="G416" s="701">
        <v>473704</v>
      </c>
      <c r="H416" s="701">
        <v>1.1665287628053584</v>
      </c>
      <c r="I416" s="701">
        <v>8459</v>
      </c>
      <c r="J416" s="701">
        <v>48</v>
      </c>
      <c r="K416" s="701">
        <v>406080</v>
      </c>
      <c r="L416" s="701">
        <v>1</v>
      </c>
      <c r="M416" s="701">
        <v>8460</v>
      </c>
      <c r="N416" s="701">
        <v>34</v>
      </c>
      <c r="O416" s="701">
        <v>287708</v>
      </c>
      <c r="P416" s="723">
        <v>0.70850078802206462</v>
      </c>
      <c r="Q416" s="702">
        <v>8462</v>
      </c>
    </row>
    <row r="417" spans="1:17" ht="14.4" customHeight="1" x14ac:dyDescent="0.3">
      <c r="A417" s="696" t="s">
        <v>4559</v>
      </c>
      <c r="B417" s="697" t="s">
        <v>3936</v>
      </c>
      <c r="C417" s="697" t="s">
        <v>2708</v>
      </c>
      <c r="D417" s="697" t="s">
        <v>4826</v>
      </c>
      <c r="E417" s="697" t="s">
        <v>4827</v>
      </c>
      <c r="F417" s="701"/>
      <c r="G417" s="701"/>
      <c r="H417" s="701"/>
      <c r="I417" s="701"/>
      <c r="J417" s="701">
        <v>1</v>
      </c>
      <c r="K417" s="701">
        <v>160</v>
      </c>
      <c r="L417" s="701">
        <v>1</v>
      </c>
      <c r="M417" s="701">
        <v>160</v>
      </c>
      <c r="N417" s="701"/>
      <c r="O417" s="701"/>
      <c r="P417" s="723"/>
      <c r="Q417" s="702"/>
    </row>
    <row r="418" spans="1:17" ht="14.4" customHeight="1" x14ac:dyDescent="0.3">
      <c r="A418" s="696" t="s">
        <v>4559</v>
      </c>
      <c r="B418" s="697" t="s">
        <v>3936</v>
      </c>
      <c r="C418" s="697" t="s">
        <v>2708</v>
      </c>
      <c r="D418" s="697" t="s">
        <v>4828</v>
      </c>
      <c r="E418" s="697" t="s">
        <v>4829</v>
      </c>
      <c r="F418" s="701">
        <v>5</v>
      </c>
      <c r="G418" s="701">
        <v>10265</v>
      </c>
      <c r="H418" s="701">
        <v>1.6666666666666667</v>
      </c>
      <c r="I418" s="701">
        <v>2053</v>
      </c>
      <c r="J418" s="701">
        <v>3</v>
      </c>
      <c r="K418" s="701">
        <v>6159</v>
      </c>
      <c r="L418" s="701">
        <v>1</v>
      </c>
      <c r="M418" s="701">
        <v>2053</v>
      </c>
      <c r="N418" s="701">
        <v>8</v>
      </c>
      <c r="O418" s="701">
        <v>16440</v>
      </c>
      <c r="P418" s="723">
        <v>2.6692644909887968</v>
      </c>
      <c r="Q418" s="702">
        <v>2055</v>
      </c>
    </row>
    <row r="419" spans="1:17" ht="14.4" customHeight="1" x14ac:dyDescent="0.3">
      <c r="A419" s="696" t="s">
        <v>4559</v>
      </c>
      <c r="B419" s="697" t="s">
        <v>3936</v>
      </c>
      <c r="C419" s="697" t="s">
        <v>2708</v>
      </c>
      <c r="D419" s="697" t="s">
        <v>4830</v>
      </c>
      <c r="E419" s="697" t="s">
        <v>4831</v>
      </c>
      <c r="F419" s="701"/>
      <c r="G419" s="701"/>
      <c r="H419" s="701"/>
      <c r="I419" s="701"/>
      <c r="J419" s="701"/>
      <c r="K419" s="701"/>
      <c r="L419" s="701"/>
      <c r="M419" s="701"/>
      <c r="N419" s="701">
        <v>2</v>
      </c>
      <c r="O419" s="701">
        <v>11510</v>
      </c>
      <c r="P419" s="723"/>
      <c r="Q419" s="702">
        <v>5755</v>
      </c>
    </row>
    <row r="420" spans="1:17" ht="14.4" customHeight="1" x14ac:dyDescent="0.3">
      <c r="A420" s="696" t="s">
        <v>4559</v>
      </c>
      <c r="B420" s="697" t="s">
        <v>3936</v>
      </c>
      <c r="C420" s="697" t="s">
        <v>2708</v>
      </c>
      <c r="D420" s="697" t="s">
        <v>4832</v>
      </c>
      <c r="E420" s="697" t="s">
        <v>4833</v>
      </c>
      <c r="F420" s="701"/>
      <c r="G420" s="701"/>
      <c r="H420" s="701"/>
      <c r="I420" s="701"/>
      <c r="J420" s="701"/>
      <c r="K420" s="701"/>
      <c r="L420" s="701"/>
      <c r="M420" s="701"/>
      <c r="N420" s="701">
        <v>1</v>
      </c>
      <c r="O420" s="701">
        <v>580</v>
      </c>
      <c r="P420" s="723"/>
      <c r="Q420" s="702">
        <v>580</v>
      </c>
    </row>
    <row r="421" spans="1:17" ht="14.4" customHeight="1" x14ac:dyDescent="0.3">
      <c r="A421" s="696" t="s">
        <v>4559</v>
      </c>
      <c r="B421" s="697" t="s">
        <v>3936</v>
      </c>
      <c r="C421" s="697" t="s">
        <v>2708</v>
      </c>
      <c r="D421" s="697" t="s">
        <v>4834</v>
      </c>
      <c r="E421" s="697" t="s">
        <v>4835</v>
      </c>
      <c r="F421" s="701">
        <v>1</v>
      </c>
      <c r="G421" s="701">
        <v>373</v>
      </c>
      <c r="H421" s="701"/>
      <c r="I421" s="701">
        <v>373</v>
      </c>
      <c r="J421" s="701"/>
      <c r="K421" s="701"/>
      <c r="L421" s="701"/>
      <c r="M421" s="701"/>
      <c r="N421" s="701"/>
      <c r="O421" s="701"/>
      <c r="P421" s="723"/>
      <c r="Q421" s="702"/>
    </row>
    <row r="422" spans="1:17" ht="14.4" customHeight="1" x14ac:dyDescent="0.3">
      <c r="A422" s="696" t="s">
        <v>4559</v>
      </c>
      <c r="B422" s="697" t="s">
        <v>3936</v>
      </c>
      <c r="C422" s="697" t="s">
        <v>2708</v>
      </c>
      <c r="D422" s="697" t="s">
        <v>4836</v>
      </c>
      <c r="E422" s="697" t="s">
        <v>4837</v>
      </c>
      <c r="F422" s="701"/>
      <c r="G422" s="701"/>
      <c r="H422" s="701"/>
      <c r="I422" s="701"/>
      <c r="J422" s="701">
        <v>1</v>
      </c>
      <c r="K422" s="701">
        <v>352</v>
      </c>
      <c r="L422" s="701">
        <v>1</v>
      </c>
      <c r="M422" s="701">
        <v>352</v>
      </c>
      <c r="N422" s="701"/>
      <c r="O422" s="701"/>
      <c r="P422" s="723"/>
      <c r="Q422" s="702"/>
    </row>
    <row r="423" spans="1:17" ht="14.4" customHeight="1" x14ac:dyDescent="0.3">
      <c r="A423" s="696" t="s">
        <v>4838</v>
      </c>
      <c r="B423" s="697" t="s">
        <v>4839</v>
      </c>
      <c r="C423" s="697" t="s">
        <v>2708</v>
      </c>
      <c r="D423" s="697" t="s">
        <v>4840</v>
      </c>
      <c r="E423" s="697" t="s">
        <v>4841</v>
      </c>
      <c r="F423" s="701">
        <v>1290</v>
      </c>
      <c r="G423" s="701">
        <v>272190</v>
      </c>
      <c r="H423" s="701">
        <v>1.0445344129554657</v>
      </c>
      <c r="I423" s="701">
        <v>211</v>
      </c>
      <c r="J423" s="701">
        <v>1235</v>
      </c>
      <c r="K423" s="701">
        <v>260585</v>
      </c>
      <c r="L423" s="701">
        <v>1</v>
      </c>
      <c r="M423" s="701">
        <v>211</v>
      </c>
      <c r="N423" s="701">
        <v>1296</v>
      </c>
      <c r="O423" s="701">
        <v>274752</v>
      </c>
      <c r="P423" s="723">
        <v>1.0543661377285722</v>
      </c>
      <c r="Q423" s="702">
        <v>212</v>
      </c>
    </row>
    <row r="424" spans="1:17" ht="14.4" customHeight="1" x14ac:dyDescent="0.3">
      <c r="A424" s="696" t="s">
        <v>4838</v>
      </c>
      <c r="B424" s="697" t="s">
        <v>4839</v>
      </c>
      <c r="C424" s="697" t="s">
        <v>2708</v>
      </c>
      <c r="D424" s="697" t="s">
        <v>4842</v>
      </c>
      <c r="E424" s="697" t="s">
        <v>4841</v>
      </c>
      <c r="F424" s="701">
        <v>6</v>
      </c>
      <c r="G424" s="701">
        <v>522</v>
      </c>
      <c r="H424" s="701">
        <v>1.5</v>
      </c>
      <c r="I424" s="701">
        <v>87</v>
      </c>
      <c r="J424" s="701">
        <v>4</v>
      </c>
      <c r="K424" s="701">
        <v>348</v>
      </c>
      <c r="L424" s="701">
        <v>1</v>
      </c>
      <c r="M424" s="701">
        <v>87</v>
      </c>
      <c r="N424" s="701">
        <v>9</v>
      </c>
      <c r="O424" s="701">
        <v>783</v>
      </c>
      <c r="P424" s="723">
        <v>2.25</v>
      </c>
      <c r="Q424" s="702">
        <v>87</v>
      </c>
    </row>
    <row r="425" spans="1:17" ht="14.4" customHeight="1" x14ac:dyDescent="0.3">
      <c r="A425" s="696" t="s">
        <v>4838</v>
      </c>
      <c r="B425" s="697" t="s">
        <v>4839</v>
      </c>
      <c r="C425" s="697" t="s">
        <v>2708</v>
      </c>
      <c r="D425" s="697" t="s">
        <v>4843</v>
      </c>
      <c r="E425" s="697" t="s">
        <v>4844</v>
      </c>
      <c r="F425" s="701">
        <v>894</v>
      </c>
      <c r="G425" s="701">
        <v>269094</v>
      </c>
      <c r="H425" s="701">
        <v>0.93416927899686519</v>
      </c>
      <c r="I425" s="701">
        <v>301</v>
      </c>
      <c r="J425" s="701">
        <v>957</v>
      </c>
      <c r="K425" s="701">
        <v>288057</v>
      </c>
      <c r="L425" s="701">
        <v>1</v>
      </c>
      <c r="M425" s="701">
        <v>301</v>
      </c>
      <c r="N425" s="701">
        <v>1082</v>
      </c>
      <c r="O425" s="701">
        <v>326764</v>
      </c>
      <c r="P425" s="723">
        <v>1.134372710956512</v>
      </c>
      <c r="Q425" s="702">
        <v>302</v>
      </c>
    </row>
    <row r="426" spans="1:17" ht="14.4" customHeight="1" x14ac:dyDescent="0.3">
      <c r="A426" s="696" t="s">
        <v>4838</v>
      </c>
      <c r="B426" s="697" t="s">
        <v>4839</v>
      </c>
      <c r="C426" s="697" t="s">
        <v>2708</v>
      </c>
      <c r="D426" s="697" t="s">
        <v>4845</v>
      </c>
      <c r="E426" s="697" t="s">
        <v>4846</v>
      </c>
      <c r="F426" s="701">
        <v>9</v>
      </c>
      <c r="G426" s="701">
        <v>891</v>
      </c>
      <c r="H426" s="701">
        <v>0.6</v>
      </c>
      <c r="I426" s="701">
        <v>99</v>
      </c>
      <c r="J426" s="701">
        <v>15</v>
      </c>
      <c r="K426" s="701">
        <v>1485</v>
      </c>
      <c r="L426" s="701">
        <v>1</v>
      </c>
      <c r="M426" s="701">
        <v>99</v>
      </c>
      <c r="N426" s="701"/>
      <c r="O426" s="701"/>
      <c r="P426" s="723"/>
      <c r="Q426" s="702"/>
    </row>
    <row r="427" spans="1:17" ht="14.4" customHeight="1" x14ac:dyDescent="0.3">
      <c r="A427" s="696" t="s">
        <v>4838</v>
      </c>
      <c r="B427" s="697" t="s">
        <v>4839</v>
      </c>
      <c r="C427" s="697" t="s">
        <v>2708</v>
      </c>
      <c r="D427" s="697" t="s">
        <v>4845</v>
      </c>
      <c r="E427" s="697" t="s">
        <v>4847</v>
      </c>
      <c r="F427" s="701">
        <v>3</v>
      </c>
      <c r="G427" s="701">
        <v>297</v>
      </c>
      <c r="H427" s="701"/>
      <c r="I427" s="701">
        <v>99</v>
      </c>
      <c r="J427" s="701"/>
      <c r="K427" s="701"/>
      <c r="L427" s="701"/>
      <c r="M427" s="701"/>
      <c r="N427" s="701">
        <v>18</v>
      </c>
      <c r="O427" s="701">
        <v>1797</v>
      </c>
      <c r="P427" s="723"/>
      <c r="Q427" s="702">
        <v>99.833333333333329</v>
      </c>
    </row>
    <row r="428" spans="1:17" ht="14.4" customHeight="1" x14ac:dyDescent="0.3">
      <c r="A428" s="696" t="s">
        <v>4838</v>
      </c>
      <c r="B428" s="697" t="s">
        <v>4839</v>
      </c>
      <c r="C428" s="697" t="s">
        <v>2708</v>
      </c>
      <c r="D428" s="697" t="s">
        <v>4848</v>
      </c>
      <c r="E428" s="697" t="s">
        <v>4849</v>
      </c>
      <c r="F428" s="701">
        <v>149</v>
      </c>
      <c r="G428" s="701">
        <v>20413</v>
      </c>
      <c r="H428" s="701">
        <v>0.69626168224299068</v>
      </c>
      <c r="I428" s="701">
        <v>137</v>
      </c>
      <c r="J428" s="701">
        <v>214</v>
      </c>
      <c r="K428" s="701">
        <v>29318</v>
      </c>
      <c r="L428" s="701">
        <v>1</v>
      </c>
      <c r="M428" s="701">
        <v>137</v>
      </c>
      <c r="N428" s="701">
        <v>217</v>
      </c>
      <c r="O428" s="701">
        <v>29729</v>
      </c>
      <c r="P428" s="723">
        <v>1.014018691588785</v>
      </c>
      <c r="Q428" s="702">
        <v>137</v>
      </c>
    </row>
    <row r="429" spans="1:17" ht="14.4" customHeight="1" x14ac:dyDescent="0.3">
      <c r="A429" s="696" t="s">
        <v>4838</v>
      </c>
      <c r="B429" s="697" t="s">
        <v>4839</v>
      </c>
      <c r="C429" s="697" t="s">
        <v>2708</v>
      </c>
      <c r="D429" s="697" t="s">
        <v>4850</v>
      </c>
      <c r="E429" s="697" t="s">
        <v>4849</v>
      </c>
      <c r="F429" s="701">
        <v>3</v>
      </c>
      <c r="G429" s="701">
        <v>549</v>
      </c>
      <c r="H429" s="701">
        <v>3</v>
      </c>
      <c r="I429" s="701">
        <v>183</v>
      </c>
      <c r="J429" s="701">
        <v>1</v>
      </c>
      <c r="K429" s="701">
        <v>183</v>
      </c>
      <c r="L429" s="701">
        <v>1</v>
      </c>
      <c r="M429" s="701">
        <v>183</v>
      </c>
      <c r="N429" s="701">
        <v>4</v>
      </c>
      <c r="O429" s="701">
        <v>736</v>
      </c>
      <c r="P429" s="723">
        <v>4.0218579234972678</v>
      </c>
      <c r="Q429" s="702">
        <v>184</v>
      </c>
    </row>
    <row r="430" spans="1:17" ht="14.4" customHeight="1" x14ac:dyDescent="0.3">
      <c r="A430" s="696" t="s">
        <v>4838</v>
      </c>
      <c r="B430" s="697" t="s">
        <v>4839</v>
      </c>
      <c r="C430" s="697" t="s">
        <v>2708</v>
      </c>
      <c r="D430" s="697" t="s">
        <v>4851</v>
      </c>
      <c r="E430" s="697" t="s">
        <v>4852</v>
      </c>
      <c r="F430" s="701">
        <v>1</v>
      </c>
      <c r="G430" s="701">
        <v>639</v>
      </c>
      <c r="H430" s="701">
        <v>1</v>
      </c>
      <c r="I430" s="701">
        <v>639</v>
      </c>
      <c r="J430" s="701">
        <v>1</v>
      </c>
      <c r="K430" s="701">
        <v>639</v>
      </c>
      <c r="L430" s="701">
        <v>1</v>
      </c>
      <c r="M430" s="701">
        <v>639</v>
      </c>
      <c r="N430" s="701">
        <v>2</v>
      </c>
      <c r="O430" s="701">
        <v>1280</v>
      </c>
      <c r="P430" s="723">
        <v>2.0031298904538342</v>
      </c>
      <c r="Q430" s="702">
        <v>640</v>
      </c>
    </row>
    <row r="431" spans="1:17" ht="14.4" customHeight="1" x14ac:dyDescent="0.3">
      <c r="A431" s="696" t="s">
        <v>4838</v>
      </c>
      <c r="B431" s="697" t="s">
        <v>4839</v>
      </c>
      <c r="C431" s="697" t="s">
        <v>2708</v>
      </c>
      <c r="D431" s="697" t="s">
        <v>4853</v>
      </c>
      <c r="E431" s="697" t="s">
        <v>4854</v>
      </c>
      <c r="F431" s="701">
        <v>1</v>
      </c>
      <c r="G431" s="701">
        <v>608</v>
      </c>
      <c r="H431" s="701"/>
      <c r="I431" s="701">
        <v>608</v>
      </c>
      <c r="J431" s="701"/>
      <c r="K431" s="701"/>
      <c r="L431" s="701"/>
      <c r="M431" s="701"/>
      <c r="N431" s="701"/>
      <c r="O431" s="701"/>
      <c r="P431" s="723"/>
      <c r="Q431" s="702"/>
    </row>
    <row r="432" spans="1:17" ht="14.4" customHeight="1" x14ac:dyDescent="0.3">
      <c r="A432" s="696" t="s">
        <v>4838</v>
      </c>
      <c r="B432" s="697" t="s">
        <v>4839</v>
      </c>
      <c r="C432" s="697" t="s">
        <v>2708</v>
      </c>
      <c r="D432" s="697" t="s">
        <v>4855</v>
      </c>
      <c r="E432" s="697" t="s">
        <v>4856</v>
      </c>
      <c r="F432" s="701">
        <v>27</v>
      </c>
      <c r="G432" s="701">
        <v>4671</v>
      </c>
      <c r="H432" s="701">
        <v>0.81818181818181823</v>
      </c>
      <c r="I432" s="701">
        <v>173</v>
      </c>
      <c r="J432" s="701">
        <v>33</v>
      </c>
      <c r="K432" s="701">
        <v>5709</v>
      </c>
      <c r="L432" s="701">
        <v>1</v>
      </c>
      <c r="M432" s="701">
        <v>173</v>
      </c>
      <c r="N432" s="701">
        <v>36</v>
      </c>
      <c r="O432" s="701">
        <v>6264</v>
      </c>
      <c r="P432" s="723">
        <v>1.0972149238045192</v>
      </c>
      <c r="Q432" s="702">
        <v>174</v>
      </c>
    </row>
    <row r="433" spans="1:17" ht="14.4" customHeight="1" x14ac:dyDescent="0.3">
      <c r="A433" s="696" t="s">
        <v>4838</v>
      </c>
      <c r="B433" s="697" t="s">
        <v>4839</v>
      </c>
      <c r="C433" s="697" t="s">
        <v>2708</v>
      </c>
      <c r="D433" s="697" t="s">
        <v>4857</v>
      </c>
      <c r="E433" s="697" t="s">
        <v>4858</v>
      </c>
      <c r="F433" s="701">
        <v>2</v>
      </c>
      <c r="G433" s="701">
        <v>768</v>
      </c>
      <c r="H433" s="701"/>
      <c r="I433" s="701">
        <v>384</v>
      </c>
      <c r="J433" s="701"/>
      <c r="K433" s="701"/>
      <c r="L433" s="701"/>
      <c r="M433" s="701"/>
      <c r="N433" s="701">
        <v>2</v>
      </c>
      <c r="O433" s="701">
        <v>694</v>
      </c>
      <c r="P433" s="723"/>
      <c r="Q433" s="702">
        <v>347</v>
      </c>
    </row>
    <row r="434" spans="1:17" ht="14.4" customHeight="1" x14ac:dyDescent="0.3">
      <c r="A434" s="696" t="s">
        <v>4838</v>
      </c>
      <c r="B434" s="697" t="s">
        <v>4839</v>
      </c>
      <c r="C434" s="697" t="s">
        <v>2708</v>
      </c>
      <c r="D434" s="697" t="s">
        <v>4859</v>
      </c>
      <c r="E434" s="697" t="s">
        <v>4860</v>
      </c>
      <c r="F434" s="701">
        <v>3</v>
      </c>
      <c r="G434" s="701">
        <v>819</v>
      </c>
      <c r="H434" s="701">
        <v>3.2489685814027294E-2</v>
      </c>
      <c r="I434" s="701">
        <v>273</v>
      </c>
      <c r="J434" s="701">
        <v>92</v>
      </c>
      <c r="K434" s="701">
        <v>25208</v>
      </c>
      <c r="L434" s="701">
        <v>1</v>
      </c>
      <c r="M434" s="701">
        <v>274</v>
      </c>
      <c r="N434" s="701"/>
      <c r="O434" s="701"/>
      <c r="P434" s="723"/>
      <c r="Q434" s="702"/>
    </row>
    <row r="435" spans="1:17" ht="14.4" customHeight="1" x14ac:dyDescent="0.3">
      <c r="A435" s="696" t="s">
        <v>4838</v>
      </c>
      <c r="B435" s="697" t="s">
        <v>4839</v>
      </c>
      <c r="C435" s="697" t="s">
        <v>2708</v>
      </c>
      <c r="D435" s="697" t="s">
        <v>4859</v>
      </c>
      <c r="E435" s="697" t="s">
        <v>4861</v>
      </c>
      <c r="F435" s="701">
        <v>112</v>
      </c>
      <c r="G435" s="701">
        <v>30576</v>
      </c>
      <c r="H435" s="701"/>
      <c r="I435" s="701">
        <v>273</v>
      </c>
      <c r="J435" s="701"/>
      <c r="K435" s="701"/>
      <c r="L435" s="701"/>
      <c r="M435" s="701"/>
      <c r="N435" s="701">
        <v>273</v>
      </c>
      <c r="O435" s="701">
        <v>74802</v>
      </c>
      <c r="P435" s="723"/>
      <c r="Q435" s="702">
        <v>274</v>
      </c>
    </row>
    <row r="436" spans="1:17" ht="14.4" customHeight="1" x14ac:dyDescent="0.3">
      <c r="A436" s="696" t="s">
        <v>4838</v>
      </c>
      <c r="B436" s="697" t="s">
        <v>4839</v>
      </c>
      <c r="C436" s="697" t="s">
        <v>2708</v>
      </c>
      <c r="D436" s="697" t="s">
        <v>4862</v>
      </c>
      <c r="E436" s="697" t="s">
        <v>4863</v>
      </c>
      <c r="F436" s="701">
        <v>303</v>
      </c>
      <c r="G436" s="701">
        <v>43026</v>
      </c>
      <c r="H436" s="701">
        <v>0.9380804953560371</v>
      </c>
      <c r="I436" s="701">
        <v>142</v>
      </c>
      <c r="J436" s="701">
        <v>323</v>
      </c>
      <c r="K436" s="701">
        <v>45866</v>
      </c>
      <c r="L436" s="701">
        <v>1</v>
      </c>
      <c r="M436" s="701">
        <v>142</v>
      </c>
      <c r="N436" s="701">
        <v>373</v>
      </c>
      <c r="O436" s="701">
        <v>52838</v>
      </c>
      <c r="P436" s="723">
        <v>1.1520080233724328</v>
      </c>
      <c r="Q436" s="702">
        <v>141.65683646112601</v>
      </c>
    </row>
    <row r="437" spans="1:17" ht="14.4" customHeight="1" x14ac:dyDescent="0.3">
      <c r="A437" s="696" t="s">
        <v>4838</v>
      </c>
      <c r="B437" s="697" t="s">
        <v>4839</v>
      </c>
      <c r="C437" s="697" t="s">
        <v>2708</v>
      </c>
      <c r="D437" s="697" t="s">
        <v>4864</v>
      </c>
      <c r="E437" s="697" t="s">
        <v>4863</v>
      </c>
      <c r="F437" s="701">
        <v>149</v>
      </c>
      <c r="G437" s="701">
        <v>11622</v>
      </c>
      <c r="H437" s="701">
        <v>0.69626168224299068</v>
      </c>
      <c r="I437" s="701">
        <v>78</v>
      </c>
      <c r="J437" s="701">
        <v>214</v>
      </c>
      <c r="K437" s="701">
        <v>16692</v>
      </c>
      <c r="L437" s="701">
        <v>1</v>
      </c>
      <c r="M437" s="701">
        <v>78</v>
      </c>
      <c r="N437" s="701">
        <v>217</v>
      </c>
      <c r="O437" s="701">
        <v>16993</v>
      </c>
      <c r="P437" s="723">
        <v>1.0180325904624969</v>
      </c>
      <c r="Q437" s="702">
        <v>78.308755760368669</v>
      </c>
    </row>
    <row r="438" spans="1:17" ht="14.4" customHeight="1" x14ac:dyDescent="0.3">
      <c r="A438" s="696" t="s">
        <v>4838</v>
      </c>
      <c r="B438" s="697" t="s">
        <v>4839</v>
      </c>
      <c r="C438" s="697" t="s">
        <v>2708</v>
      </c>
      <c r="D438" s="697" t="s">
        <v>4865</v>
      </c>
      <c r="E438" s="697" t="s">
        <v>4866</v>
      </c>
      <c r="F438" s="701">
        <v>303</v>
      </c>
      <c r="G438" s="701">
        <v>94839</v>
      </c>
      <c r="H438" s="701">
        <v>0.93799699331408004</v>
      </c>
      <c r="I438" s="701">
        <v>313</v>
      </c>
      <c r="J438" s="701">
        <v>322</v>
      </c>
      <c r="K438" s="701">
        <v>101108</v>
      </c>
      <c r="L438" s="701">
        <v>1</v>
      </c>
      <c r="M438" s="701">
        <v>314</v>
      </c>
      <c r="N438" s="701">
        <v>373</v>
      </c>
      <c r="O438" s="701">
        <v>117122</v>
      </c>
      <c r="P438" s="723">
        <v>1.1583850931677018</v>
      </c>
      <c r="Q438" s="702">
        <v>314</v>
      </c>
    </row>
    <row r="439" spans="1:17" ht="14.4" customHeight="1" x14ac:dyDescent="0.3">
      <c r="A439" s="696" t="s">
        <v>4838</v>
      </c>
      <c r="B439" s="697" t="s">
        <v>4839</v>
      </c>
      <c r="C439" s="697" t="s">
        <v>2708</v>
      </c>
      <c r="D439" s="697" t="s">
        <v>4867</v>
      </c>
      <c r="E439" s="697" t="s">
        <v>4868</v>
      </c>
      <c r="F439" s="701">
        <v>2</v>
      </c>
      <c r="G439" s="701">
        <v>976</v>
      </c>
      <c r="H439" s="701"/>
      <c r="I439" s="701">
        <v>488</v>
      </c>
      <c r="J439" s="701"/>
      <c r="K439" s="701"/>
      <c r="L439" s="701"/>
      <c r="M439" s="701"/>
      <c r="N439" s="701"/>
      <c r="O439" s="701"/>
      <c r="P439" s="723"/>
      <c r="Q439" s="702"/>
    </row>
    <row r="440" spans="1:17" ht="14.4" customHeight="1" x14ac:dyDescent="0.3">
      <c r="A440" s="696" t="s">
        <v>4838</v>
      </c>
      <c r="B440" s="697" t="s">
        <v>4839</v>
      </c>
      <c r="C440" s="697" t="s">
        <v>2708</v>
      </c>
      <c r="D440" s="697" t="s">
        <v>4869</v>
      </c>
      <c r="E440" s="697" t="s">
        <v>4870</v>
      </c>
      <c r="F440" s="701">
        <v>79</v>
      </c>
      <c r="G440" s="701">
        <v>12877</v>
      </c>
      <c r="H440" s="701">
        <v>0.28417266187050361</v>
      </c>
      <c r="I440" s="701">
        <v>163</v>
      </c>
      <c r="J440" s="701">
        <v>278</v>
      </c>
      <c r="K440" s="701">
        <v>45314</v>
      </c>
      <c r="L440" s="701">
        <v>1</v>
      </c>
      <c r="M440" s="701">
        <v>163</v>
      </c>
      <c r="N440" s="701">
        <v>128</v>
      </c>
      <c r="O440" s="701">
        <v>20896</v>
      </c>
      <c r="P440" s="723">
        <v>0.46113783819570109</v>
      </c>
      <c r="Q440" s="702">
        <v>163.25</v>
      </c>
    </row>
    <row r="441" spans="1:17" ht="14.4" customHeight="1" x14ac:dyDescent="0.3">
      <c r="A441" s="696" t="s">
        <v>4838</v>
      </c>
      <c r="B441" s="697" t="s">
        <v>4839</v>
      </c>
      <c r="C441" s="697" t="s">
        <v>2708</v>
      </c>
      <c r="D441" s="697" t="s">
        <v>4869</v>
      </c>
      <c r="E441" s="697" t="s">
        <v>4871</v>
      </c>
      <c r="F441" s="701">
        <v>5</v>
      </c>
      <c r="G441" s="701">
        <v>815</v>
      </c>
      <c r="H441" s="701"/>
      <c r="I441" s="701">
        <v>163</v>
      </c>
      <c r="J441" s="701"/>
      <c r="K441" s="701"/>
      <c r="L441" s="701"/>
      <c r="M441" s="701"/>
      <c r="N441" s="701"/>
      <c r="O441" s="701"/>
      <c r="P441" s="723"/>
      <c r="Q441" s="702"/>
    </row>
    <row r="442" spans="1:17" ht="14.4" customHeight="1" x14ac:dyDescent="0.3">
      <c r="A442" s="696" t="s">
        <v>4838</v>
      </c>
      <c r="B442" s="697" t="s">
        <v>4839</v>
      </c>
      <c r="C442" s="697" t="s">
        <v>2708</v>
      </c>
      <c r="D442" s="697" t="s">
        <v>4872</v>
      </c>
      <c r="E442" s="697" t="s">
        <v>4841</v>
      </c>
      <c r="F442" s="701">
        <v>438</v>
      </c>
      <c r="G442" s="701">
        <v>31536</v>
      </c>
      <c r="H442" s="701">
        <v>0.67488443759630201</v>
      </c>
      <c r="I442" s="701">
        <v>72</v>
      </c>
      <c r="J442" s="701">
        <v>649</v>
      </c>
      <c r="K442" s="701">
        <v>46728</v>
      </c>
      <c r="L442" s="701">
        <v>1</v>
      </c>
      <c r="M442" s="701">
        <v>72</v>
      </c>
      <c r="N442" s="701">
        <v>697</v>
      </c>
      <c r="O442" s="701">
        <v>50381</v>
      </c>
      <c r="P442" s="723">
        <v>1.0781758260571821</v>
      </c>
      <c r="Q442" s="702">
        <v>72.28263988522238</v>
      </c>
    </row>
    <row r="443" spans="1:17" ht="14.4" customHeight="1" x14ac:dyDescent="0.3">
      <c r="A443" s="696" t="s">
        <v>4838</v>
      </c>
      <c r="B443" s="697" t="s">
        <v>4839</v>
      </c>
      <c r="C443" s="697" t="s">
        <v>2708</v>
      </c>
      <c r="D443" s="697" t="s">
        <v>4873</v>
      </c>
      <c r="E443" s="697" t="s">
        <v>4874</v>
      </c>
      <c r="F443" s="701">
        <v>3</v>
      </c>
      <c r="G443" s="701">
        <v>687</v>
      </c>
      <c r="H443" s="701"/>
      <c r="I443" s="701">
        <v>229</v>
      </c>
      <c r="J443" s="701"/>
      <c r="K443" s="701"/>
      <c r="L443" s="701"/>
      <c r="M443" s="701"/>
      <c r="N443" s="701"/>
      <c r="O443" s="701"/>
      <c r="P443" s="723"/>
      <c r="Q443" s="702"/>
    </row>
    <row r="444" spans="1:17" ht="14.4" customHeight="1" x14ac:dyDescent="0.3">
      <c r="A444" s="696" t="s">
        <v>4838</v>
      </c>
      <c r="B444" s="697" t="s">
        <v>4839</v>
      </c>
      <c r="C444" s="697" t="s">
        <v>2708</v>
      </c>
      <c r="D444" s="697" t="s">
        <v>4873</v>
      </c>
      <c r="E444" s="697" t="s">
        <v>4875</v>
      </c>
      <c r="F444" s="701">
        <v>1</v>
      </c>
      <c r="G444" s="701">
        <v>229</v>
      </c>
      <c r="H444" s="701"/>
      <c r="I444" s="701">
        <v>229</v>
      </c>
      <c r="J444" s="701"/>
      <c r="K444" s="701"/>
      <c r="L444" s="701"/>
      <c r="M444" s="701"/>
      <c r="N444" s="701">
        <v>1</v>
      </c>
      <c r="O444" s="701">
        <v>230</v>
      </c>
      <c r="P444" s="723"/>
      <c r="Q444" s="702">
        <v>230</v>
      </c>
    </row>
    <row r="445" spans="1:17" ht="14.4" customHeight="1" x14ac:dyDescent="0.3">
      <c r="A445" s="696" t="s">
        <v>4838</v>
      </c>
      <c r="B445" s="697" t="s">
        <v>4839</v>
      </c>
      <c r="C445" s="697" t="s">
        <v>2708</v>
      </c>
      <c r="D445" s="697" t="s">
        <v>4876</v>
      </c>
      <c r="E445" s="697" t="s">
        <v>4877</v>
      </c>
      <c r="F445" s="701">
        <v>27</v>
      </c>
      <c r="G445" s="701">
        <v>32697</v>
      </c>
      <c r="H445" s="701">
        <v>1.0384615384615385</v>
      </c>
      <c r="I445" s="701">
        <v>1211</v>
      </c>
      <c r="J445" s="701">
        <v>26</v>
      </c>
      <c r="K445" s="701">
        <v>31486</v>
      </c>
      <c r="L445" s="701">
        <v>1</v>
      </c>
      <c r="M445" s="701">
        <v>1211</v>
      </c>
      <c r="N445" s="701">
        <v>43</v>
      </c>
      <c r="O445" s="701">
        <v>52116</v>
      </c>
      <c r="P445" s="723">
        <v>1.6552118401829385</v>
      </c>
      <c r="Q445" s="702">
        <v>1212</v>
      </c>
    </row>
    <row r="446" spans="1:17" ht="14.4" customHeight="1" x14ac:dyDescent="0.3">
      <c r="A446" s="696" t="s">
        <v>4838</v>
      </c>
      <c r="B446" s="697" t="s">
        <v>4839</v>
      </c>
      <c r="C446" s="697" t="s">
        <v>2708</v>
      </c>
      <c r="D446" s="697" t="s">
        <v>4878</v>
      </c>
      <c r="E446" s="697" t="s">
        <v>4879</v>
      </c>
      <c r="F446" s="701">
        <v>4</v>
      </c>
      <c r="G446" s="701">
        <v>456</v>
      </c>
      <c r="H446" s="701">
        <v>0.5714285714285714</v>
      </c>
      <c r="I446" s="701">
        <v>114</v>
      </c>
      <c r="J446" s="701">
        <v>7</v>
      </c>
      <c r="K446" s="701">
        <v>798</v>
      </c>
      <c r="L446" s="701">
        <v>1</v>
      </c>
      <c r="M446" s="701">
        <v>114</v>
      </c>
      <c r="N446" s="701">
        <v>3</v>
      </c>
      <c r="O446" s="701">
        <v>345</v>
      </c>
      <c r="P446" s="723">
        <v>0.43233082706766918</v>
      </c>
      <c r="Q446" s="702">
        <v>115</v>
      </c>
    </row>
    <row r="447" spans="1:17" ht="14.4" customHeight="1" x14ac:dyDescent="0.3">
      <c r="A447" s="696" t="s">
        <v>4838</v>
      </c>
      <c r="B447" s="697" t="s">
        <v>4839</v>
      </c>
      <c r="C447" s="697" t="s">
        <v>2708</v>
      </c>
      <c r="D447" s="697" t="s">
        <v>4878</v>
      </c>
      <c r="E447" s="697" t="s">
        <v>4880</v>
      </c>
      <c r="F447" s="701">
        <v>12</v>
      </c>
      <c r="G447" s="701">
        <v>1368</v>
      </c>
      <c r="H447" s="701">
        <v>1.0909090909090908</v>
      </c>
      <c r="I447" s="701">
        <v>114</v>
      </c>
      <c r="J447" s="701">
        <v>11</v>
      </c>
      <c r="K447" s="701">
        <v>1254</v>
      </c>
      <c r="L447" s="701">
        <v>1</v>
      </c>
      <c r="M447" s="701">
        <v>114</v>
      </c>
      <c r="N447" s="701">
        <v>26</v>
      </c>
      <c r="O447" s="701">
        <v>2990</v>
      </c>
      <c r="P447" s="723">
        <v>2.3843700159489631</v>
      </c>
      <c r="Q447" s="702">
        <v>115</v>
      </c>
    </row>
    <row r="448" spans="1:17" ht="14.4" customHeight="1" x14ac:dyDescent="0.3">
      <c r="A448" s="696" t="s">
        <v>4838</v>
      </c>
      <c r="B448" s="697" t="s">
        <v>4839</v>
      </c>
      <c r="C448" s="697" t="s">
        <v>2708</v>
      </c>
      <c r="D448" s="697" t="s">
        <v>4881</v>
      </c>
      <c r="E448" s="697" t="s">
        <v>4882</v>
      </c>
      <c r="F448" s="701"/>
      <c r="G448" s="701"/>
      <c r="H448" s="701"/>
      <c r="I448" s="701"/>
      <c r="J448" s="701"/>
      <c r="K448" s="701"/>
      <c r="L448" s="701"/>
      <c r="M448" s="701"/>
      <c r="N448" s="701">
        <v>1</v>
      </c>
      <c r="O448" s="701">
        <v>347</v>
      </c>
      <c r="P448" s="723"/>
      <c r="Q448" s="702">
        <v>347</v>
      </c>
    </row>
    <row r="449" spans="1:17" ht="14.4" customHeight="1" x14ac:dyDescent="0.3">
      <c r="A449" s="696" t="s">
        <v>4838</v>
      </c>
      <c r="B449" s="697" t="s">
        <v>4839</v>
      </c>
      <c r="C449" s="697" t="s">
        <v>2708</v>
      </c>
      <c r="D449" s="697" t="s">
        <v>4883</v>
      </c>
      <c r="E449" s="697" t="s">
        <v>4884</v>
      </c>
      <c r="F449" s="701">
        <v>1</v>
      </c>
      <c r="G449" s="701">
        <v>1064</v>
      </c>
      <c r="H449" s="701"/>
      <c r="I449" s="701">
        <v>1064</v>
      </c>
      <c r="J449" s="701"/>
      <c r="K449" s="701"/>
      <c r="L449" s="701"/>
      <c r="M449" s="701"/>
      <c r="N449" s="701">
        <v>2</v>
      </c>
      <c r="O449" s="701">
        <v>2134</v>
      </c>
      <c r="P449" s="723"/>
      <c r="Q449" s="702">
        <v>1067</v>
      </c>
    </row>
    <row r="450" spans="1:17" ht="14.4" customHeight="1" x14ac:dyDescent="0.3">
      <c r="A450" s="696" t="s">
        <v>4838</v>
      </c>
      <c r="B450" s="697" t="s">
        <v>4839</v>
      </c>
      <c r="C450" s="697" t="s">
        <v>2708</v>
      </c>
      <c r="D450" s="697" t="s">
        <v>4885</v>
      </c>
      <c r="E450" s="697" t="s">
        <v>4886</v>
      </c>
      <c r="F450" s="701">
        <v>2</v>
      </c>
      <c r="G450" s="701">
        <v>602</v>
      </c>
      <c r="H450" s="701">
        <v>1.9933774834437086</v>
      </c>
      <c r="I450" s="701">
        <v>301</v>
      </c>
      <c r="J450" s="701">
        <v>1</v>
      </c>
      <c r="K450" s="701">
        <v>302</v>
      </c>
      <c r="L450" s="701">
        <v>1</v>
      </c>
      <c r="M450" s="701">
        <v>302</v>
      </c>
      <c r="N450" s="701"/>
      <c r="O450" s="701"/>
      <c r="P450" s="723"/>
      <c r="Q450" s="702"/>
    </row>
    <row r="451" spans="1:17" ht="14.4" customHeight="1" x14ac:dyDescent="0.3">
      <c r="A451" s="696" t="s">
        <v>4887</v>
      </c>
      <c r="B451" s="697" t="s">
        <v>4888</v>
      </c>
      <c r="C451" s="697" t="s">
        <v>2708</v>
      </c>
      <c r="D451" s="697" t="s">
        <v>4889</v>
      </c>
      <c r="E451" s="697" t="s">
        <v>4890</v>
      </c>
      <c r="F451" s="701">
        <v>1002</v>
      </c>
      <c r="G451" s="701">
        <v>58116</v>
      </c>
      <c r="H451" s="701">
        <v>2.2070484581497798</v>
      </c>
      <c r="I451" s="701">
        <v>58</v>
      </c>
      <c r="J451" s="701">
        <v>454</v>
      </c>
      <c r="K451" s="701">
        <v>26332</v>
      </c>
      <c r="L451" s="701">
        <v>1</v>
      </c>
      <c r="M451" s="701">
        <v>58</v>
      </c>
      <c r="N451" s="701">
        <v>131</v>
      </c>
      <c r="O451" s="701">
        <v>7598</v>
      </c>
      <c r="P451" s="723">
        <v>0.28854625550660795</v>
      </c>
      <c r="Q451" s="702">
        <v>58</v>
      </c>
    </row>
    <row r="452" spans="1:17" ht="14.4" customHeight="1" x14ac:dyDescent="0.3">
      <c r="A452" s="696" t="s">
        <v>4887</v>
      </c>
      <c r="B452" s="697" t="s">
        <v>4888</v>
      </c>
      <c r="C452" s="697" t="s">
        <v>2708</v>
      </c>
      <c r="D452" s="697" t="s">
        <v>4891</v>
      </c>
      <c r="E452" s="697" t="s">
        <v>4892</v>
      </c>
      <c r="F452" s="701">
        <v>1439</v>
      </c>
      <c r="G452" s="701">
        <v>188509</v>
      </c>
      <c r="H452" s="701">
        <v>5.271062271062271</v>
      </c>
      <c r="I452" s="701">
        <v>131</v>
      </c>
      <c r="J452" s="701">
        <v>273</v>
      </c>
      <c r="K452" s="701">
        <v>35763</v>
      </c>
      <c r="L452" s="701">
        <v>1</v>
      </c>
      <c r="M452" s="701">
        <v>131</v>
      </c>
      <c r="N452" s="701">
        <v>163</v>
      </c>
      <c r="O452" s="701">
        <v>21455</v>
      </c>
      <c r="P452" s="723">
        <v>0.59992170679193579</v>
      </c>
      <c r="Q452" s="702">
        <v>131.62576687116564</v>
      </c>
    </row>
    <row r="453" spans="1:17" ht="14.4" customHeight="1" x14ac:dyDescent="0.3">
      <c r="A453" s="696" t="s">
        <v>4887</v>
      </c>
      <c r="B453" s="697" t="s">
        <v>4888</v>
      </c>
      <c r="C453" s="697" t="s">
        <v>2708</v>
      </c>
      <c r="D453" s="697" t="s">
        <v>4893</v>
      </c>
      <c r="E453" s="697" t="s">
        <v>4894</v>
      </c>
      <c r="F453" s="701">
        <v>90</v>
      </c>
      <c r="G453" s="701">
        <v>17010</v>
      </c>
      <c r="H453" s="701">
        <v>2.7272727272727271</v>
      </c>
      <c r="I453" s="701">
        <v>189</v>
      </c>
      <c r="J453" s="701">
        <v>33</v>
      </c>
      <c r="K453" s="701">
        <v>6237</v>
      </c>
      <c r="L453" s="701">
        <v>1</v>
      </c>
      <c r="M453" s="701">
        <v>189</v>
      </c>
      <c r="N453" s="701">
        <v>18</v>
      </c>
      <c r="O453" s="701">
        <v>3410</v>
      </c>
      <c r="P453" s="723">
        <v>0.54673721340388004</v>
      </c>
      <c r="Q453" s="702">
        <v>189.44444444444446</v>
      </c>
    </row>
    <row r="454" spans="1:17" ht="14.4" customHeight="1" x14ac:dyDescent="0.3">
      <c r="A454" s="696" t="s">
        <v>4887</v>
      </c>
      <c r="B454" s="697" t="s">
        <v>4888</v>
      </c>
      <c r="C454" s="697" t="s">
        <v>2708</v>
      </c>
      <c r="D454" s="697" t="s">
        <v>4895</v>
      </c>
      <c r="E454" s="697" t="s">
        <v>4896</v>
      </c>
      <c r="F454" s="701">
        <v>209</v>
      </c>
      <c r="G454" s="701">
        <v>85063</v>
      </c>
      <c r="H454" s="701">
        <v>0.89097326964974022</v>
      </c>
      <c r="I454" s="701">
        <v>407</v>
      </c>
      <c r="J454" s="701">
        <v>234</v>
      </c>
      <c r="K454" s="701">
        <v>95472</v>
      </c>
      <c r="L454" s="701">
        <v>1</v>
      </c>
      <c r="M454" s="701">
        <v>408</v>
      </c>
      <c r="N454" s="701">
        <v>79</v>
      </c>
      <c r="O454" s="701">
        <v>32232</v>
      </c>
      <c r="P454" s="723">
        <v>0.33760683760683763</v>
      </c>
      <c r="Q454" s="702">
        <v>408</v>
      </c>
    </row>
    <row r="455" spans="1:17" ht="14.4" customHeight="1" x14ac:dyDescent="0.3">
      <c r="A455" s="696" t="s">
        <v>4887</v>
      </c>
      <c r="B455" s="697" t="s">
        <v>4888</v>
      </c>
      <c r="C455" s="697" t="s">
        <v>2708</v>
      </c>
      <c r="D455" s="697" t="s">
        <v>4897</v>
      </c>
      <c r="E455" s="697" t="s">
        <v>4898</v>
      </c>
      <c r="F455" s="701">
        <v>102</v>
      </c>
      <c r="G455" s="701">
        <v>18258</v>
      </c>
      <c r="H455" s="701">
        <v>3.4977011494252874</v>
      </c>
      <c r="I455" s="701">
        <v>179</v>
      </c>
      <c r="J455" s="701">
        <v>29</v>
      </c>
      <c r="K455" s="701">
        <v>5220</v>
      </c>
      <c r="L455" s="701">
        <v>1</v>
      </c>
      <c r="M455" s="701">
        <v>180</v>
      </c>
      <c r="N455" s="701">
        <v>10</v>
      </c>
      <c r="O455" s="701">
        <v>1800</v>
      </c>
      <c r="P455" s="723">
        <v>0.34482758620689657</v>
      </c>
      <c r="Q455" s="702">
        <v>180</v>
      </c>
    </row>
    <row r="456" spans="1:17" ht="14.4" customHeight="1" x14ac:dyDescent="0.3">
      <c r="A456" s="696" t="s">
        <v>4887</v>
      </c>
      <c r="B456" s="697" t="s">
        <v>4888</v>
      </c>
      <c r="C456" s="697" t="s">
        <v>2708</v>
      </c>
      <c r="D456" s="697" t="s">
        <v>4899</v>
      </c>
      <c r="E456" s="697" t="s">
        <v>4900</v>
      </c>
      <c r="F456" s="701">
        <v>64</v>
      </c>
      <c r="G456" s="701">
        <v>21440</v>
      </c>
      <c r="H456" s="701">
        <v>1.7724867724867726</v>
      </c>
      <c r="I456" s="701">
        <v>335</v>
      </c>
      <c r="J456" s="701">
        <v>36</v>
      </c>
      <c r="K456" s="701">
        <v>12096</v>
      </c>
      <c r="L456" s="701">
        <v>1</v>
      </c>
      <c r="M456" s="701">
        <v>336</v>
      </c>
      <c r="N456" s="701">
        <v>16</v>
      </c>
      <c r="O456" s="701">
        <v>5392</v>
      </c>
      <c r="P456" s="723">
        <v>0.44576719576719576</v>
      </c>
      <c r="Q456" s="702">
        <v>337</v>
      </c>
    </row>
    <row r="457" spans="1:17" ht="14.4" customHeight="1" x14ac:dyDescent="0.3">
      <c r="A457" s="696" t="s">
        <v>4887</v>
      </c>
      <c r="B457" s="697" t="s">
        <v>4888</v>
      </c>
      <c r="C457" s="697" t="s">
        <v>2708</v>
      </c>
      <c r="D457" s="697" t="s">
        <v>4901</v>
      </c>
      <c r="E457" s="697" t="s">
        <v>4902</v>
      </c>
      <c r="F457" s="701"/>
      <c r="G457" s="701"/>
      <c r="H457" s="701"/>
      <c r="I457" s="701"/>
      <c r="J457" s="701">
        <v>4</v>
      </c>
      <c r="K457" s="701">
        <v>1836</v>
      </c>
      <c r="L457" s="701">
        <v>1</v>
      </c>
      <c r="M457" s="701">
        <v>459</v>
      </c>
      <c r="N457" s="701">
        <v>5</v>
      </c>
      <c r="O457" s="701">
        <v>2295</v>
      </c>
      <c r="P457" s="723">
        <v>1.25</v>
      </c>
      <c r="Q457" s="702">
        <v>459</v>
      </c>
    </row>
    <row r="458" spans="1:17" ht="14.4" customHeight="1" x14ac:dyDescent="0.3">
      <c r="A458" s="696" t="s">
        <v>4887</v>
      </c>
      <c r="B458" s="697" t="s">
        <v>4888</v>
      </c>
      <c r="C458" s="697" t="s">
        <v>2708</v>
      </c>
      <c r="D458" s="697" t="s">
        <v>4903</v>
      </c>
      <c r="E458" s="697" t="s">
        <v>4904</v>
      </c>
      <c r="F458" s="701">
        <v>327</v>
      </c>
      <c r="G458" s="701">
        <v>114123</v>
      </c>
      <c r="H458" s="701">
        <v>3.1142857142857143</v>
      </c>
      <c r="I458" s="701">
        <v>349</v>
      </c>
      <c r="J458" s="701">
        <v>105</v>
      </c>
      <c r="K458" s="701">
        <v>36645</v>
      </c>
      <c r="L458" s="701">
        <v>1</v>
      </c>
      <c r="M458" s="701">
        <v>349</v>
      </c>
      <c r="N458" s="701">
        <v>22</v>
      </c>
      <c r="O458" s="701">
        <v>7700</v>
      </c>
      <c r="P458" s="723">
        <v>0.21012416427889208</v>
      </c>
      <c r="Q458" s="702">
        <v>350</v>
      </c>
    </row>
    <row r="459" spans="1:17" ht="14.4" customHeight="1" x14ac:dyDescent="0.3">
      <c r="A459" s="696" t="s">
        <v>4887</v>
      </c>
      <c r="B459" s="697" t="s">
        <v>4888</v>
      </c>
      <c r="C459" s="697" t="s">
        <v>2708</v>
      </c>
      <c r="D459" s="697" t="s">
        <v>4903</v>
      </c>
      <c r="E459" s="697" t="s">
        <v>4905</v>
      </c>
      <c r="F459" s="701">
        <v>268</v>
      </c>
      <c r="G459" s="701">
        <v>93532</v>
      </c>
      <c r="H459" s="701">
        <v>1.0307692307692307</v>
      </c>
      <c r="I459" s="701">
        <v>349</v>
      </c>
      <c r="J459" s="701">
        <v>260</v>
      </c>
      <c r="K459" s="701">
        <v>90740</v>
      </c>
      <c r="L459" s="701">
        <v>1</v>
      </c>
      <c r="M459" s="701">
        <v>349</v>
      </c>
      <c r="N459" s="701">
        <v>57</v>
      </c>
      <c r="O459" s="701">
        <v>19950</v>
      </c>
      <c r="P459" s="723">
        <v>0.21985893762398059</v>
      </c>
      <c r="Q459" s="702">
        <v>350</v>
      </c>
    </row>
    <row r="460" spans="1:17" ht="14.4" customHeight="1" x14ac:dyDescent="0.3">
      <c r="A460" s="696" t="s">
        <v>4887</v>
      </c>
      <c r="B460" s="697" t="s">
        <v>4888</v>
      </c>
      <c r="C460" s="697" t="s">
        <v>2708</v>
      </c>
      <c r="D460" s="697" t="s">
        <v>4906</v>
      </c>
      <c r="E460" s="697" t="s">
        <v>4907</v>
      </c>
      <c r="F460" s="701"/>
      <c r="G460" s="701"/>
      <c r="H460" s="701"/>
      <c r="I460" s="701"/>
      <c r="J460" s="701">
        <v>2</v>
      </c>
      <c r="K460" s="701">
        <v>3306</v>
      </c>
      <c r="L460" s="701">
        <v>1</v>
      </c>
      <c r="M460" s="701">
        <v>1653</v>
      </c>
      <c r="N460" s="701"/>
      <c r="O460" s="701"/>
      <c r="P460" s="723"/>
      <c r="Q460" s="702"/>
    </row>
    <row r="461" spans="1:17" ht="14.4" customHeight="1" x14ac:dyDescent="0.3">
      <c r="A461" s="696" t="s">
        <v>4887</v>
      </c>
      <c r="B461" s="697" t="s">
        <v>4888</v>
      </c>
      <c r="C461" s="697" t="s">
        <v>2708</v>
      </c>
      <c r="D461" s="697" t="s">
        <v>4906</v>
      </c>
      <c r="E461" s="697" t="s">
        <v>4908</v>
      </c>
      <c r="F461" s="701"/>
      <c r="G461" s="701"/>
      <c r="H461" s="701"/>
      <c r="I461" s="701"/>
      <c r="J461" s="701"/>
      <c r="K461" s="701"/>
      <c r="L461" s="701"/>
      <c r="M461" s="701"/>
      <c r="N461" s="701">
        <v>1</v>
      </c>
      <c r="O461" s="701">
        <v>1655</v>
      </c>
      <c r="P461" s="723"/>
      <c r="Q461" s="702">
        <v>1655</v>
      </c>
    </row>
    <row r="462" spans="1:17" ht="14.4" customHeight="1" x14ac:dyDescent="0.3">
      <c r="A462" s="696" t="s">
        <v>4887</v>
      </c>
      <c r="B462" s="697" t="s">
        <v>4888</v>
      </c>
      <c r="C462" s="697" t="s">
        <v>2708</v>
      </c>
      <c r="D462" s="697" t="s">
        <v>4909</v>
      </c>
      <c r="E462" s="697" t="s">
        <v>4910</v>
      </c>
      <c r="F462" s="701">
        <v>38</v>
      </c>
      <c r="G462" s="701">
        <v>4446</v>
      </c>
      <c r="H462" s="701">
        <v>38</v>
      </c>
      <c r="I462" s="701">
        <v>117</v>
      </c>
      <c r="J462" s="701">
        <v>1</v>
      </c>
      <c r="K462" s="701">
        <v>117</v>
      </c>
      <c r="L462" s="701">
        <v>1</v>
      </c>
      <c r="M462" s="701">
        <v>117</v>
      </c>
      <c r="N462" s="701">
        <v>8</v>
      </c>
      <c r="O462" s="701">
        <v>936</v>
      </c>
      <c r="P462" s="723">
        <v>8</v>
      </c>
      <c r="Q462" s="702">
        <v>117</v>
      </c>
    </row>
    <row r="463" spans="1:17" ht="14.4" customHeight="1" x14ac:dyDescent="0.3">
      <c r="A463" s="696" t="s">
        <v>4887</v>
      </c>
      <c r="B463" s="697" t="s">
        <v>4888</v>
      </c>
      <c r="C463" s="697" t="s">
        <v>2708</v>
      </c>
      <c r="D463" s="697" t="s">
        <v>4909</v>
      </c>
      <c r="E463" s="697" t="s">
        <v>4911</v>
      </c>
      <c r="F463" s="701">
        <v>37</v>
      </c>
      <c r="G463" s="701">
        <v>4329</v>
      </c>
      <c r="H463" s="701">
        <v>0.30833333333333335</v>
      </c>
      <c r="I463" s="701">
        <v>117</v>
      </c>
      <c r="J463" s="701">
        <v>120</v>
      </c>
      <c r="K463" s="701">
        <v>14040</v>
      </c>
      <c r="L463" s="701">
        <v>1</v>
      </c>
      <c r="M463" s="701">
        <v>117</v>
      </c>
      <c r="N463" s="701">
        <v>128</v>
      </c>
      <c r="O463" s="701">
        <v>14976</v>
      </c>
      <c r="P463" s="723">
        <v>1.0666666666666667</v>
      </c>
      <c r="Q463" s="702">
        <v>117</v>
      </c>
    </row>
    <row r="464" spans="1:17" ht="14.4" customHeight="1" x14ac:dyDescent="0.3">
      <c r="A464" s="696" t="s">
        <v>4887</v>
      </c>
      <c r="B464" s="697" t="s">
        <v>4888</v>
      </c>
      <c r="C464" s="697" t="s">
        <v>2708</v>
      </c>
      <c r="D464" s="697" t="s">
        <v>4912</v>
      </c>
      <c r="E464" s="697" t="s">
        <v>4913</v>
      </c>
      <c r="F464" s="701">
        <v>1</v>
      </c>
      <c r="G464" s="701">
        <v>49</v>
      </c>
      <c r="H464" s="701"/>
      <c r="I464" s="701">
        <v>49</v>
      </c>
      <c r="J464" s="701"/>
      <c r="K464" s="701"/>
      <c r="L464" s="701"/>
      <c r="M464" s="701"/>
      <c r="N464" s="701"/>
      <c r="O464" s="701"/>
      <c r="P464" s="723"/>
      <c r="Q464" s="702"/>
    </row>
    <row r="465" spans="1:17" ht="14.4" customHeight="1" x14ac:dyDescent="0.3">
      <c r="A465" s="696" t="s">
        <v>4887</v>
      </c>
      <c r="B465" s="697" t="s">
        <v>4888</v>
      </c>
      <c r="C465" s="697" t="s">
        <v>2708</v>
      </c>
      <c r="D465" s="697" t="s">
        <v>4914</v>
      </c>
      <c r="E465" s="697" t="s">
        <v>4915</v>
      </c>
      <c r="F465" s="701">
        <v>1</v>
      </c>
      <c r="G465" s="701">
        <v>387</v>
      </c>
      <c r="H465" s="701">
        <v>0.12372122762148338</v>
      </c>
      <c r="I465" s="701">
        <v>387</v>
      </c>
      <c r="J465" s="701">
        <v>8</v>
      </c>
      <c r="K465" s="701">
        <v>3128</v>
      </c>
      <c r="L465" s="701">
        <v>1</v>
      </c>
      <c r="M465" s="701">
        <v>391</v>
      </c>
      <c r="N465" s="701"/>
      <c r="O465" s="701"/>
      <c r="P465" s="723"/>
      <c r="Q465" s="702"/>
    </row>
    <row r="466" spans="1:17" ht="14.4" customHeight="1" x14ac:dyDescent="0.3">
      <c r="A466" s="696" t="s">
        <v>4887</v>
      </c>
      <c r="B466" s="697" t="s">
        <v>4888</v>
      </c>
      <c r="C466" s="697" t="s">
        <v>2708</v>
      </c>
      <c r="D466" s="697" t="s">
        <v>4914</v>
      </c>
      <c r="E466" s="697" t="s">
        <v>4916</v>
      </c>
      <c r="F466" s="701">
        <v>4</v>
      </c>
      <c r="G466" s="701">
        <v>1548</v>
      </c>
      <c r="H466" s="701">
        <v>3.9590792838874682</v>
      </c>
      <c r="I466" s="701">
        <v>387</v>
      </c>
      <c r="J466" s="701">
        <v>1</v>
      </c>
      <c r="K466" s="701">
        <v>391</v>
      </c>
      <c r="L466" s="701">
        <v>1</v>
      </c>
      <c r="M466" s="701">
        <v>391</v>
      </c>
      <c r="N466" s="701">
        <v>3</v>
      </c>
      <c r="O466" s="701">
        <v>1176</v>
      </c>
      <c r="P466" s="723">
        <v>3.0076726342710995</v>
      </c>
      <c r="Q466" s="702">
        <v>392</v>
      </c>
    </row>
    <row r="467" spans="1:17" ht="14.4" customHeight="1" x14ac:dyDescent="0.3">
      <c r="A467" s="696" t="s">
        <v>4887</v>
      </c>
      <c r="B467" s="697" t="s">
        <v>4888</v>
      </c>
      <c r="C467" s="697" t="s">
        <v>2708</v>
      </c>
      <c r="D467" s="697" t="s">
        <v>4917</v>
      </c>
      <c r="E467" s="697" t="s">
        <v>4918</v>
      </c>
      <c r="F467" s="701">
        <v>28</v>
      </c>
      <c r="G467" s="701">
        <v>1064</v>
      </c>
      <c r="H467" s="701">
        <v>0.29473684210526313</v>
      </c>
      <c r="I467" s="701">
        <v>38</v>
      </c>
      <c r="J467" s="701">
        <v>95</v>
      </c>
      <c r="K467" s="701">
        <v>3610</v>
      </c>
      <c r="L467" s="701">
        <v>1</v>
      </c>
      <c r="M467" s="701">
        <v>38</v>
      </c>
      <c r="N467" s="701">
        <v>106</v>
      </c>
      <c r="O467" s="701">
        <v>4028</v>
      </c>
      <c r="P467" s="723">
        <v>1.1157894736842104</v>
      </c>
      <c r="Q467" s="702">
        <v>38</v>
      </c>
    </row>
    <row r="468" spans="1:17" ht="14.4" customHeight="1" x14ac:dyDescent="0.3">
      <c r="A468" s="696" t="s">
        <v>4887</v>
      </c>
      <c r="B468" s="697" t="s">
        <v>4888</v>
      </c>
      <c r="C468" s="697" t="s">
        <v>2708</v>
      </c>
      <c r="D468" s="697" t="s">
        <v>4917</v>
      </c>
      <c r="E468" s="697" t="s">
        <v>4919</v>
      </c>
      <c r="F468" s="701">
        <v>28</v>
      </c>
      <c r="G468" s="701">
        <v>1064</v>
      </c>
      <c r="H468" s="701">
        <v>28</v>
      </c>
      <c r="I468" s="701">
        <v>38</v>
      </c>
      <c r="J468" s="701">
        <v>1</v>
      </c>
      <c r="K468" s="701">
        <v>38</v>
      </c>
      <c r="L468" s="701">
        <v>1</v>
      </c>
      <c r="M468" s="701">
        <v>38</v>
      </c>
      <c r="N468" s="701">
        <v>5</v>
      </c>
      <c r="O468" s="701">
        <v>190</v>
      </c>
      <c r="P468" s="723">
        <v>5</v>
      </c>
      <c r="Q468" s="702">
        <v>38</v>
      </c>
    </row>
    <row r="469" spans="1:17" ht="14.4" customHeight="1" x14ac:dyDescent="0.3">
      <c r="A469" s="696" t="s">
        <v>4887</v>
      </c>
      <c r="B469" s="697" t="s">
        <v>4888</v>
      </c>
      <c r="C469" s="697" t="s">
        <v>2708</v>
      </c>
      <c r="D469" s="697" t="s">
        <v>4920</v>
      </c>
      <c r="E469" s="697" t="s">
        <v>4921</v>
      </c>
      <c r="F469" s="701">
        <v>1</v>
      </c>
      <c r="G469" s="701">
        <v>704</v>
      </c>
      <c r="H469" s="701">
        <v>9.0780141843971637E-2</v>
      </c>
      <c r="I469" s="701">
        <v>704</v>
      </c>
      <c r="J469" s="701">
        <v>11</v>
      </c>
      <c r="K469" s="701">
        <v>7755</v>
      </c>
      <c r="L469" s="701">
        <v>1</v>
      </c>
      <c r="M469" s="701">
        <v>705</v>
      </c>
      <c r="N469" s="701"/>
      <c r="O469" s="701"/>
      <c r="P469" s="723"/>
      <c r="Q469" s="702"/>
    </row>
    <row r="470" spans="1:17" ht="14.4" customHeight="1" x14ac:dyDescent="0.3">
      <c r="A470" s="696" t="s">
        <v>4887</v>
      </c>
      <c r="B470" s="697" t="s">
        <v>4888</v>
      </c>
      <c r="C470" s="697" t="s">
        <v>2708</v>
      </c>
      <c r="D470" s="697" t="s">
        <v>4920</v>
      </c>
      <c r="E470" s="697" t="s">
        <v>4922</v>
      </c>
      <c r="F470" s="701">
        <v>5</v>
      </c>
      <c r="G470" s="701">
        <v>3520</v>
      </c>
      <c r="H470" s="701"/>
      <c r="I470" s="701">
        <v>704</v>
      </c>
      <c r="J470" s="701"/>
      <c r="K470" s="701"/>
      <c r="L470" s="701"/>
      <c r="M470" s="701"/>
      <c r="N470" s="701">
        <v>3</v>
      </c>
      <c r="O470" s="701">
        <v>2120</v>
      </c>
      <c r="P470" s="723"/>
      <c r="Q470" s="702">
        <v>706.66666666666663</v>
      </c>
    </row>
    <row r="471" spans="1:17" ht="14.4" customHeight="1" x14ac:dyDescent="0.3">
      <c r="A471" s="696" t="s">
        <v>4887</v>
      </c>
      <c r="B471" s="697" t="s">
        <v>4888</v>
      </c>
      <c r="C471" s="697" t="s">
        <v>2708</v>
      </c>
      <c r="D471" s="697" t="s">
        <v>4923</v>
      </c>
      <c r="E471" s="697" t="s">
        <v>4924</v>
      </c>
      <c r="F471" s="701">
        <v>846</v>
      </c>
      <c r="G471" s="701">
        <v>257184</v>
      </c>
      <c r="H471" s="701">
        <v>2.8201546137397884</v>
      </c>
      <c r="I471" s="701">
        <v>304</v>
      </c>
      <c r="J471" s="701">
        <v>299</v>
      </c>
      <c r="K471" s="701">
        <v>91195</v>
      </c>
      <c r="L471" s="701">
        <v>1</v>
      </c>
      <c r="M471" s="701">
        <v>305</v>
      </c>
      <c r="N471" s="701">
        <v>141</v>
      </c>
      <c r="O471" s="701">
        <v>43005</v>
      </c>
      <c r="P471" s="723">
        <v>0.47157190635451507</v>
      </c>
      <c r="Q471" s="702">
        <v>305</v>
      </c>
    </row>
    <row r="472" spans="1:17" ht="14.4" customHeight="1" x14ac:dyDescent="0.3">
      <c r="A472" s="696" t="s">
        <v>4887</v>
      </c>
      <c r="B472" s="697" t="s">
        <v>4888</v>
      </c>
      <c r="C472" s="697" t="s">
        <v>2708</v>
      </c>
      <c r="D472" s="697" t="s">
        <v>4925</v>
      </c>
      <c r="E472" s="697" t="s">
        <v>4926</v>
      </c>
      <c r="F472" s="701">
        <v>457</v>
      </c>
      <c r="G472" s="701">
        <v>225758</v>
      </c>
      <c r="H472" s="701">
        <v>1.2694444444444444</v>
      </c>
      <c r="I472" s="701">
        <v>494</v>
      </c>
      <c r="J472" s="701">
        <v>360</v>
      </c>
      <c r="K472" s="701">
        <v>177840</v>
      </c>
      <c r="L472" s="701">
        <v>1</v>
      </c>
      <c r="M472" s="701">
        <v>494</v>
      </c>
      <c r="N472" s="701">
        <v>167</v>
      </c>
      <c r="O472" s="701">
        <v>82665</v>
      </c>
      <c r="P472" s="723">
        <v>0.46482793522267207</v>
      </c>
      <c r="Q472" s="702">
        <v>495</v>
      </c>
    </row>
    <row r="473" spans="1:17" ht="14.4" customHeight="1" x14ac:dyDescent="0.3">
      <c r="A473" s="696" t="s">
        <v>4887</v>
      </c>
      <c r="B473" s="697" t="s">
        <v>4888</v>
      </c>
      <c r="C473" s="697" t="s">
        <v>2708</v>
      </c>
      <c r="D473" s="697" t="s">
        <v>4927</v>
      </c>
      <c r="E473" s="697" t="s">
        <v>4928</v>
      </c>
      <c r="F473" s="701">
        <v>1062</v>
      </c>
      <c r="G473" s="701">
        <v>392940</v>
      </c>
      <c r="H473" s="701">
        <v>2.0701754385964914</v>
      </c>
      <c r="I473" s="701">
        <v>370</v>
      </c>
      <c r="J473" s="701">
        <v>513</v>
      </c>
      <c r="K473" s="701">
        <v>189810</v>
      </c>
      <c r="L473" s="701">
        <v>1</v>
      </c>
      <c r="M473" s="701">
        <v>370</v>
      </c>
      <c r="N473" s="701">
        <v>218</v>
      </c>
      <c r="O473" s="701">
        <v>80878</v>
      </c>
      <c r="P473" s="723">
        <v>0.42609978399452086</v>
      </c>
      <c r="Q473" s="702">
        <v>371</v>
      </c>
    </row>
    <row r="474" spans="1:17" ht="14.4" customHeight="1" x14ac:dyDescent="0.3">
      <c r="A474" s="696" t="s">
        <v>4887</v>
      </c>
      <c r="B474" s="697" t="s">
        <v>4888</v>
      </c>
      <c r="C474" s="697" t="s">
        <v>2708</v>
      </c>
      <c r="D474" s="697" t="s">
        <v>4929</v>
      </c>
      <c r="E474" s="697" t="s">
        <v>4930</v>
      </c>
      <c r="F474" s="701"/>
      <c r="G474" s="701"/>
      <c r="H474" s="701"/>
      <c r="I474" s="701"/>
      <c r="J474" s="701"/>
      <c r="K474" s="701"/>
      <c r="L474" s="701"/>
      <c r="M474" s="701"/>
      <c r="N474" s="701">
        <v>1</v>
      </c>
      <c r="O474" s="701">
        <v>12</v>
      </c>
      <c r="P474" s="723"/>
      <c r="Q474" s="702">
        <v>12</v>
      </c>
    </row>
    <row r="475" spans="1:17" ht="14.4" customHeight="1" x14ac:dyDescent="0.3">
      <c r="A475" s="696" t="s">
        <v>4887</v>
      </c>
      <c r="B475" s="697" t="s">
        <v>4888</v>
      </c>
      <c r="C475" s="697" t="s">
        <v>2708</v>
      </c>
      <c r="D475" s="697" t="s">
        <v>4931</v>
      </c>
      <c r="E475" s="697" t="s">
        <v>4932</v>
      </c>
      <c r="F475" s="701">
        <v>1</v>
      </c>
      <c r="G475" s="701">
        <v>12793</v>
      </c>
      <c r="H475" s="701">
        <v>0.49996091918086605</v>
      </c>
      <c r="I475" s="701">
        <v>12793</v>
      </c>
      <c r="J475" s="701">
        <v>2</v>
      </c>
      <c r="K475" s="701">
        <v>25588</v>
      </c>
      <c r="L475" s="701">
        <v>1</v>
      </c>
      <c r="M475" s="701">
        <v>12794</v>
      </c>
      <c r="N475" s="701">
        <v>4</v>
      </c>
      <c r="O475" s="701">
        <v>51184</v>
      </c>
      <c r="P475" s="723">
        <v>2.0003126465530716</v>
      </c>
      <c r="Q475" s="702">
        <v>12796</v>
      </c>
    </row>
    <row r="476" spans="1:17" ht="14.4" customHeight="1" x14ac:dyDescent="0.3">
      <c r="A476" s="696" t="s">
        <v>4887</v>
      </c>
      <c r="B476" s="697" t="s">
        <v>4888</v>
      </c>
      <c r="C476" s="697" t="s">
        <v>2708</v>
      </c>
      <c r="D476" s="697" t="s">
        <v>4933</v>
      </c>
      <c r="E476" s="697" t="s">
        <v>4934</v>
      </c>
      <c r="F476" s="701"/>
      <c r="G476" s="701"/>
      <c r="H476" s="701"/>
      <c r="I476" s="701"/>
      <c r="J476" s="701">
        <v>4</v>
      </c>
      <c r="K476" s="701">
        <v>444</v>
      </c>
      <c r="L476" s="701">
        <v>1</v>
      </c>
      <c r="M476" s="701">
        <v>111</v>
      </c>
      <c r="N476" s="701">
        <v>9</v>
      </c>
      <c r="O476" s="701">
        <v>1008</v>
      </c>
      <c r="P476" s="723">
        <v>2.2702702702702702</v>
      </c>
      <c r="Q476" s="702">
        <v>112</v>
      </c>
    </row>
    <row r="477" spans="1:17" ht="14.4" customHeight="1" x14ac:dyDescent="0.3">
      <c r="A477" s="696" t="s">
        <v>4887</v>
      </c>
      <c r="B477" s="697" t="s">
        <v>4888</v>
      </c>
      <c r="C477" s="697" t="s">
        <v>2708</v>
      </c>
      <c r="D477" s="697" t="s">
        <v>4935</v>
      </c>
      <c r="E477" s="697" t="s">
        <v>4936</v>
      </c>
      <c r="F477" s="701">
        <v>35</v>
      </c>
      <c r="G477" s="701">
        <v>4375</v>
      </c>
      <c r="H477" s="701">
        <v>11.666666666666666</v>
      </c>
      <c r="I477" s="701">
        <v>125</v>
      </c>
      <c r="J477" s="701">
        <v>3</v>
      </c>
      <c r="K477" s="701">
        <v>375</v>
      </c>
      <c r="L477" s="701">
        <v>1</v>
      </c>
      <c r="M477" s="701">
        <v>125</v>
      </c>
      <c r="N477" s="701">
        <v>3</v>
      </c>
      <c r="O477" s="701">
        <v>377</v>
      </c>
      <c r="P477" s="723">
        <v>1.0053333333333334</v>
      </c>
      <c r="Q477" s="702">
        <v>125.66666666666667</v>
      </c>
    </row>
    <row r="478" spans="1:17" ht="14.4" customHeight="1" x14ac:dyDescent="0.3">
      <c r="A478" s="696" t="s">
        <v>4887</v>
      </c>
      <c r="B478" s="697" t="s">
        <v>4888</v>
      </c>
      <c r="C478" s="697" t="s">
        <v>2708</v>
      </c>
      <c r="D478" s="697" t="s">
        <v>4935</v>
      </c>
      <c r="E478" s="697" t="s">
        <v>4937</v>
      </c>
      <c r="F478" s="701">
        <v>24</v>
      </c>
      <c r="G478" s="701">
        <v>3000</v>
      </c>
      <c r="H478" s="701">
        <v>24</v>
      </c>
      <c r="I478" s="701">
        <v>125</v>
      </c>
      <c r="J478" s="701">
        <v>1</v>
      </c>
      <c r="K478" s="701">
        <v>125</v>
      </c>
      <c r="L478" s="701">
        <v>1</v>
      </c>
      <c r="M478" s="701">
        <v>125</v>
      </c>
      <c r="N478" s="701">
        <v>4</v>
      </c>
      <c r="O478" s="701">
        <v>501</v>
      </c>
      <c r="P478" s="723">
        <v>4.008</v>
      </c>
      <c r="Q478" s="702">
        <v>125.25</v>
      </c>
    </row>
    <row r="479" spans="1:17" ht="14.4" customHeight="1" x14ac:dyDescent="0.3">
      <c r="A479" s="696" t="s">
        <v>4887</v>
      </c>
      <c r="B479" s="697" t="s">
        <v>4888</v>
      </c>
      <c r="C479" s="697" t="s">
        <v>2708</v>
      </c>
      <c r="D479" s="697" t="s">
        <v>4938</v>
      </c>
      <c r="E479" s="697" t="s">
        <v>4939</v>
      </c>
      <c r="F479" s="701">
        <v>92</v>
      </c>
      <c r="G479" s="701">
        <v>45540</v>
      </c>
      <c r="H479" s="701">
        <v>0.5714285714285714</v>
      </c>
      <c r="I479" s="701">
        <v>495</v>
      </c>
      <c r="J479" s="701">
        <v>161</v>
      </c>
      <c r="K479" s="701">
        <v>79695</v>
      </c>
      <c r="L479" s="701">
        <v>1</v>
      </c>
      <c r="M479" s="701">
        <v>495</v>
      </c>
      <c r="N479" s="701">
        <v>151</v>
      </c>
      <c r="O479" s="701">
        <v>74896</v>
      </c>
      <c r="P479" s="723">
        <v>0.93978292239161809</v>
      </c>
      <c r="Q479" s="702">
        <v>496</v>
      </c>
    </row>
    <row r="480" spans="1:17" ht="14.4" customHeight="1" x14ac:dyDescent="0.3">
      <c r="A480" s="696" t="s">
        <v>4887</v>
      </c>
      <c r="B480" s="697" t="s">
        <v>4888</v>
      </c>
      <c r="C480" s="697" t="s">
        <v>2708</v>
      </c>
      <c r="D480" s="697" t="s">
        <v>4940</v>
      </c>
      <c r="E480" s="697" t="s">
        <v>4941</v>
      </c>
      <c r="F480" s="701">
        <v>19</v>
      </c>
      <c r="G480" s="701">
        <v>8664</v>
      </c>
      <c r="H480" s="701">
        <v>1.1176470588235294</v>
      </c>
      <c r="I480" s="701">
        <v>456</v>
      </c>
      <c r="J480" s="701">
        <v>17</v>
      </c>
      <c r="K480" s="701">
        <v>7752</v>
      </c>
      <c r="L480" s="701">
        <v>1</v>
      </c>
      <c r="M480" s="701">
        <v>456</v>
      </c>
      <c r="N480" s="701">
        <v>10</v>
      </c>
      <c r="O480" s="701">
        <v>4580</v>
      </c>
      <c r="P480" s="723">
        <v>0.59081527347781215</v>
      </c>
      <c r="Q480" s="702">
        <v>458</v>
      </c>
    </row>
    <row r="481" spans="1:17" ht="14.4" customHeight="1" x14ac:dyDescent="0.3">
      <c r="A481" s="696" t="s">
        <v>4887</v>
      </c>
      <c r="B481" s="697" t="s">
        <v>4888</v>
      </c>
      <c r="C481" s="697" t="s">
        <v>2708</v>
      </c>
      <c r="D481" s="697" t="s">
        <v>4942</v>
      </c>
      <c r="E481" s="697" t="s">
        <v>4943</v>
      </c>
      <c r="F481" s="701">
        <v>60</v>
      </c>
      <c r="G481" s="701">
        <v>3480</v>
      </c>
      <c r="H481" s="701">
        <v>2.3076923076923075</v>
      </c>
      <c r="I481" s="701">
        <v>58</v>
      </c>
      <c r="J481" s="701">
        <v>26</v>
      </c>
      <c r="K481" s="701">
        <v>1508</v>
      </c>
      <c r="L481" s="701">
        <v>1</v>
      </c>
      <c r="M481" s="701">
        <v>58</v>
      </c>
      <c r="N481" s="701">
        <v>11</v>
      </c>
      <c r="O481" s="701">
        <v>638</v>
      </c>
      <c r="P481" s="723">
        <v>0.42307692307692307</v>
      </c>
      <c r="Q481" s="702">
        <v>58</v>
      </c>
    </row>
    <row r="482" spans="1:17" ht="14.4" customHeight="1" x14ac:dyDescent="0.3">
      <c r="A482" s="696" t="s">
        <v>4887</v>
      </c>
      <c r="B482" s="697" t="s">
        <v>4888</v>
      </c>
      <c r="C482" s="697" t="s">
        <v>2708</v>
      </c>
      <c r="D482" s="697" t="s">
        <v>4944</v>
      </c>
      <c r="E482" s="697" t="s">
        <v>4945</v>
      </c>
      <c r="F482" s="701">
        <v>3</v>
      </c>
      <c r="G482" s="701">
        <v>6519</v>
      </c>
      <c r="H482" s="701">
        <v>1.5</v>
      </c>
      <c r="I482" s="701">
        <v>2173</v>
      </c>
      <c r="J482" s="701">
        <v>2</v>
      </c>
      <c r="K482" s="701">
        <v>4346</v>
      </c>
      <c r="L482" s="701">
        <v>1</v>
      </c>
      <c r="M482" s="701">
        <v>2173</v>
      </c>
      <c r="N482" s="701">
        <v>3</v>
      </c>
      <c r="O482" s="701">
        <v>6522</v>
      </c>
      <c r="P482" s="723">
        <v>1.5006902899217671</v>
      </c>
      <c r="Q482" s="702">
        <v>2174</v>
      </c>
    </row>
    <row r="483" spans="1:17" ht="14.4" customHeight="1" x14ac:dyDescent="0.3">
      <c r="A483" s="696" t="s">
        <v>4887</v>
      </c>
      <c r="B483" s="697" t="s">
        <v>4888</v>
      </c>
      <c r="C483" s="697" t="s">
        <v>2708</v>
      </c>
      <c r="D483" s="697" t="s">
        <v>4946</v>
      </c>
      <c r="E483" s="697" t="s">
        <v>4947</v>
      </c>
      <c r="F483" s="701">
        <v>5450</v>
      </c>
      <c r="G483" s="701">
        <v>953750</v>
      </c>
      <c r="H483" s="701">
        <v>2.5670459928512983</v>
      </c>
      <c r="I483" s="701">
        <v>175</v>
      </c>
      <c r="J483" s="701">
        <v>2111</v>
      </c>
      <c r="K483" s="701">
        <v>371536</v>
      </c>
      <c r="L483" s="701">
        <v>1</v>
      </c>
      <c r="M483" s="701">
        <v>176</v>
      </c>
      <c r="N483" s="701">
        <v>1666</v>
      </c>
      <c r="O483" s="701">
        <v>293216</v>
      </c>
      <c r="P483" s="723">
        <v>0.78919943154902894</v>
      </c>
      <c r="Q483" s="702">
        <v>176</v>
      </c>
    </row>
    <row r="484" spans="1:17" ht="14.4" customHeight="1" x14ac:dyDescent="0.3">
      <c r="A484" s="696" t="s">
        <v>4887</v>
      </c>
      <c r="B484" s="697" t="s">
        <v>4888</v>
      </c>
      <c r="C484" s="697" t="s">
        <v>2708</v>
      </c>
      <c r="D484" s="697" t="s">
        <v>4948</v>
      </c>
      <c r="E484" s="697" t="s">
        <v>4949</v>
      </c>
      <c r="F484" s="701">
        <v>16</v>
      </c>
      <c r="G484" s="701">
        <v>1360</v>
      </c>
      <c r="H484" s="701">
        <v>0.61538461538461542</v>
      </c>
      <c r="I484" s="701">
        <v>85</v>
      </c>
      <c r="J484" s="701">
        <v>26</v>
      </c>
      <c r="K484" s="701">
        <v>2210</v>
      </c>
      <c r="L484" s="701">
        <v>1</v>
      </c>
      <c r="M484" s="701">
        <v>85</v>
      </c>
      <c r="N484" s="701">
        <v>8</v>
      </c>
      <c r="O484" s="701">
        <v>688</v>
      </c>
      <c r="P484" s="723">
        <v>0.31131221719457014</v>
      </c>
      <c r="Q484" s="702">
        <v>86</v>
      </c>
    </row>
    <row r="485" spans="1:17" ht="14.4" customHeight="1" x14ac:dyDescent="0.3">
      <c r="A485" s="696" t="s">
        <v>4887</v>
      </c>
      <c r="B485" s="697" t="s">
        <v>4888</v>
      </c>
      <c r="C485" s="697" t="s">
        <v>2708</v>
      </c>
      <c r="D485" s="697" t="s">
        <v>4950</v>
      </c>
      <c r="E485" s="697" t="s">
        <v>4951</v>
      </c>
      <c r="F485" s="701"/>
      <c r="G485" s="701"/>
      <c r="H485" s="701"/>
      <c r="I485" s="701"/>
      <c r="J485" s="701">
        <v>2</v>
      </c>
      <c r="K485" s="701">
        <v>356</v>
      </c>
      <c r="L485" s="701">
        <v>1</v>
      </c>
      <c r="M485" s="701">
        <v>178</v>
      </c>
      <c r="N485" s="701">
        <v>2</v>
      </c>
      <c r="O485" s="701">
        <v>358</v>
      </c>
      <c r="P485" s="723">
        <v>1.0056179775280898</v>
      </c>
      <c r="Q485" s="702">
        <v>179</v>
      </c>
    </row>
    <row r="486" spans="1:17" ht="14.4" customHeight="1" x14ac:dyDescent="0.3">
      <c r="A486" s="696" t="s">
        <v>4887</v>
      </c>
      <c r="B486" s="697" t="s">
        <v>4888</v>
      </c>
      <c r="C486" s="697" t="s">
        <v>2708</v>
      </c>
      <c r="D486" s="697" t="s">
        <v>4950</v>
      </c>
      <c r="E486" s="697" t="s">
        <v>4952</v>
      </c>
      <c r="F486" s="701"/>
      <c r="G486" s="701"/>
      <c r="H486" s="701"/>
      <c r="I486" s="701"/>
      <c r="J486" s="701"/>
      <c r="K486" s="701"/>
      <c r="L486" s="701"/>
      <c r="M486" s="701"/>
      <c r="N486" s="701">
        <v>1</v>
      </c>
      <c r="O486" s="701">
        <v>179</v>
      </c>
      <c r="P486" s="723"/>
      <c r="Q486" s="702">
        <v>179</v>
      </c>
    </row>
    <row r="487" spans="1:17" ht="14.4" customHeight="1" x14ac:dyDescent="0.3">
      <c r="A487" s="696" t="s">
        <v>4887</v>
      </c>
      <c r="B487" s="697" t="s">
        <v>4888</v>
      </c>
      <c r="C487" s="697" t="s">
        <v>2708</v>
      </c>
      <c r="D487" s="697" t="s">
        <v>4953</v>
      </c>
      <c r="E487" s="697" t="s">
        <v>4954</v>
      </c>
      <c r="F487" s="701">
        <v>29</v>
      </c>
      <c r="G487" s="701">
        <v>4901</v>
      </c>
      <c r="H487" s="701">
        <v>1.4414705882352941</v>
      </c>
      <c r="I487" s="701">
        <v>169</v>
      </c>
      <c r="J487" s="701">
        <v>20</v>
      </c>
      <c r="K487" s="701">
        <v>3400</v>
      </c>
      <c r="L487" s="701">
        <v>1</v>
      </c>
      <c r="M487" s="701">
        <v>170</v>
      </c>
      <c r="N487" s="701">
        <v>18</v>
      </c>
      <c r="O487" s="701">
        <v>3060</v>
      </c>
      <c r="P487" s="723">
        <v>0.9</v>
      </c>
      <c r="Q487" s="702">
        <v>170</v>
      </c>
    </row>
    <row r="488" spans="1:17" ht="14.4" customHeight="1" x14ac:dyDescent="0.3">
      <c r="A488" s="696" t="s">
        <v>4887</v>
      </c>
      <c r="B488" s="697" t="s">
        <v>4888</v>
      </c>
      <c r="C488" s="697" t="s">
        <v>2708</v>
      </c>
      <c r="D488" s="697" t="s">
        <v>4955</v>
      </c>
      <c r="E488" s="697" t="s">
        <v>4956</v>
      </c>
      <c r="F488" s="701">
        <v>1</v>
      </c>
      <c r="G488" s="701">
        <v>29</v>
      </c>
      <c r="H488" s="701"/>
      <c r="I488" s="701">
        <v>29</v>
      </c>
      <c r="J488" s="701"/>
      <c r="K488" s="701"/>
      <c r="L488" s="701"/>
      <c r="M488" s="701"/>
      <c r="N488" s="701">
        <v>1</v>
      </c>
      <c r="O488" s="701">
        <v>30</v>
      </c>
      <c r="P488" s="723"/>
      <c r="Q488" s="702">
        <v>30</v>
      </c>
    </row>
    <row r="489" spans="1:17" ht="14.4" customHeight="1" x14ac:dyDescent="0.3">
      <c r="A489" s="696" t="s">
        <v>4887</v>
      </c>
      <c r="B489" s="697" t="s">
        <v>4888</v>
      </c>
      <c r="C489" s="697" t="s">
        <v>2708</v>
      </c>
      <c r="D489" s="697" t="s">
        <v>4957</v>
      </c>
      <c r="E489" s="697" t="s">
        <v>4958</v>
      </c>
      <c r="F489" s="701">
        <v>1</v>
      </c>
      <c r="G489" s="701">
        <v>176</v>
      </c>
      <c r="H489" s="701">
        <v>0.5</v>
      </c>
      <c r="I489" s="701">
        <v>176</v>
      </c>
      <c r="J489" s="701">
        <v>2</v>
      </c>
      <c r="K489" s="701">
        <v>352</v>
      </c>
      <c r="L489" s="701">
        <v>1</v>
      </c>
      <c r="M489" s="701">
        <v>176</v>
      </c>
      <c r="N489" s="701">
        <v>2</v>
      </c>
      <c r="O489" s="701">
        <v>354</v>
      </c>
      <c r="P489" s="723">
        <v>1.0056818181818181</v>
      </c>
      <c r="Q489" s="702">
        <v>177</v>
      </c>
    </row>
    <row r="490" spans="1:17" ht="14.4" customHeight="1" x14ac:dyDescent="0.3">
      <c r="A490" s="696" t="s">
        <v>4887</v>
      </c>
      <c r="B490" s="697" t="s">
        <v>4888</v>
      </c>
      <c r="C490" s="697" t="s">
        <v>2708</v>
      </c>
      <c r="D490" s="697" t="s">
        <v>4959</v>
      </c>
      <c r="E490" s="697" t="s">
        <v>4960</v>
      </c>
      <c r="F490" s="701">
        <v>5</v>
      </c>
      <c r="G490" s="701">
        <v>1315</v>
      </c>
      <c r="H490" s="701">
        <v>0.55345117845117842</v>
      </c>
      <c r="I490" s="701">
        <v>263</v>
      </c>
      <c r="J490" s="701">
        <v>9</v>
      </c>
      <c r="K490" s="701">
        <v>2376</v>
      </c>
      <c r="L490" s="701">
        <v>1</v>
      </c>
      <c r="M490" s="701">
        <v>264</v>
      </c>
      <c r="N490" s="701">
        <v>21</v>
      </c>
      <c r="O490" s="701">
        <v>5544</v>
      </c>
      <c r="P490" s="723">
        <v>2.3333333333333335</v>
      </c>
      <c r="Q490" s="702">
        <v>264</v>
      </c>
    </row>
    <row r="491" spans="1:17" ht="14.4" customHeight="1" x14ac:dyDescent="0.3">
      <c r="A491" s="696" t="s">
        <v>4887</v>
      </c>
      <c r="B491" s="697" t="s">
        <v>4888</v>
      </c>
      <c r="C491" s="697" t="s">
        <v>2708</v>
      </c>
      <c r="D491" s="697" t="s">
        <v>4961</v>
      </c>
      <c r="E491" s="697" t="s">
        <v>4962</v>
      </c>
      <c r="F491" s="701">
        <v>17</v>
      </c>
      <c r="G491" s="701">
        <v>36210</v>
      </c>
      <c r="H491" s="701">
        <v>5.6640075082121069</v>
      </c>
      <c r="I491" s="701">
        <v>2130</v>
      </c>
      <c r="J491" s="701">
        <v>3</v>
      </c>
      <c r="K491" s="701">
        <v>6393</v>
      </c>
      <c r="L491" s="701">
        <v>1</v>
      </c>
      <c r="M491" s="701">
        <v>2131</v>
      </c>
      <c r="N491" s="701">
        <v>11</v>
      </c>
      <c r="O491" s="701">
        <v>23474</v>
      </c>
      <c r="P491" s="723">
        <v>3.6718285624902238</v>
      </c>
      <c r="Q491" s="702">
        <v>2134</v>
      </c>
    </row>
    <row r="492" spans="1:17" ht="14.4" customHeight="1" x14ac:dyDescent="0.3">
      <c r="A492" s="696" t="s">
        <v>4887</v>
      </c>
      <c r="B492" s="697" t="s">
        <v>4888</v>
      </c>
      <c r="C492" s="697" t="s">
        <v>2708</v>
      </c>
      <c r="D492" s="697" t="s">
        <v>4961</v>
      </c>
      <c r="E492" s="697" t="s">
        <v>4963</v>
      </c>
      <c r="F492" s="701"/>
      <c r="G492" s="701"/>
      <c r="H492" s="701"/>
      <c r="I492" s="701"/>
      <c r="J492" s="701">
        <v>4</v>
      </c>
      <c r="K492" s="701">
        <v>8524</v>
      </c>
      <c r="L492" s="701">
        <v>1</v>
      </c>
      <c r="M492" s="701">
        <v>2131</v>
      </c>
      <c r="N492" s="701">
        <v>3</v>
      </c>
      <c r="O492" s="701">
        <v>6402</v>
      </c>
      <c r="P492" s="723">
        <v>0.75105584232754574</v>
      </c>
      <c r="Q492" s="702">
        <v>2134</v>
      </c>
    </row>
    <row r="493" spans="1:17" ht="14.4" customHeight="1" x14ac:dyDescent="0.3">
      <c r="A493" s="696" t="s">
        <v>4887</v>
      </c>
      <c r="B493" s="697" t="s">
        <v>4888</v>
      </c>
      <c r="C493" s="697" t="s">
        <v>2708</v>
      </c>
      <c r="D493" s="697" t="s">
        <v>4964</v>
      </c>
      <c r="E493" s="697" t="s">
        <v>4965</v>
      </c>
      <c r="F493" s="701">
        <v>91</v>
      </c>
      <c r="G493" s="701">
        <v>22022</v>
      </c>
      <c r="H493" s="701">
        <v>0.52298850574712641</v>
      </c>
      <c r="I493" s="701">
        <v>242</v>
      </c>
      <c r="J493" s="701">
        <v>174</v>
      </c>
      <c r="K493" s="701">
        <v>42108</v>
      </c>
      <c r="L493" s="701">
        <v>1</v>
      </c>
      <c r="M493" s="701">
        <v>242</v>
      </c>
      <c r="N493" s="701">
        <v>193</v>
      </c>
      <c r="O493" s="701">
        <v>46899</v>
      </c>
      <c r="P493" s="723">
        <v>1.1137788543744656</v>
      </c>
      <c r="Q493" s="702">
        <v>243</v>
      </c>
    </row>
    <row r="494" spans="1:17" ht="14.4" customHeight="1" x14ac:dyDescent="0.3">
      <c r="A494" s="696" t="s">
        <v>4887</v>
      </c>
      <c r="B494" s="697" t="s">
        <v>4888</v>
      </c>
      <c r="C494" s="697" t="s">
        <v>2708</v>
      </c>
      <c r="D494" s="697" t="s">
        <v>4966</v>
      </c>
      <c r="E494" s="697" t="s">
        <v>4967</v>
      </c>
      <c r="F494" s="701">
        <v>14</v>
      </c>
      <c r="G494" s="701">
        <v>5922</v>
      </c>
      <c r="H494" s="701">
        <v>0.87293632075471694</v>
      </c>
      <c r="I494" s="701">
        <v>423</v>
      </c>
      <c r="J494" s="701">
        <v>16</v>
      </c>
      <c r="K494" s="701">
        <v>6784</v>
      </c>
      <c r="L494" s="701">
        <v>1</v>
      </c>
      <c r="M494" s="701">
        <v>424</v>
      </c>
      <c r="N494" s="701">
        <v>14</v>
      </c>
      <c r="O494" s="701">
        <v>5964</v>
      </c>
      <c r="P494" s="723">
        <v>0.879127358490566</v>
      </c>
      <c r="Q494" s="702">
        <v>426</v>
      </c>
    </row>
    <row r="495" spans="1:17" ht="14.4" customHeight="1" x14ac:dyDescent="0.3">
      <c r="A495" s="696" t="s">
        <v>4887</v>
      </c>
      <c r="B495" s="697" t="s">
        <v>4888</v>
      </c>
      <c r="C495" s="697" t="s">
        <v>2708</v>
      </c>
      <c r="D495" s="697" t="s">
        <v>4968</v>
      </c>
      <c r="E495" s="697" t="s">
        <v>4969</v>
      </c>
      <c r="F495" s="701">
        <v>78</v>
      </c>
      <c r="G495" s="701">
        <v>82290</v>
      </c>
      <c r="H495" s="701">
        <v>15.570482497634815</v>
      </c>
      <c r="I495" s="701">
        <v>1055</v>
      </c>
      <c r="J495" s="701">
        <v>5</v>
      </c>
      <c r="K495" s="701">
        <v>5285</v>
      </c>
      <c r="L495" s="701">
        <v>1</v>
      </c>
      <c r="M495" s="701">
        <v>1057</v>
      </c>
      <c r="N495" s="701"/>
      <c r="O495" s="701"/>
      <c r="P495" s="723"/>
      <c r="Q495" s="702"/>
    </row>
    <row r="496" spans="1:17" ht="14.4" customHeight="1" x14ac:dyDescent="0.3">
      <c r="A496" s="696" t="s">
        <v>4887</v>
      </c>
      <c r="B496" s="697" t="s">
        <v>4888</v>
      </c>
      <c r="C496" s="697" t="s">
        <v>2708</v>
      </c>
      <c r="D496" s="697" t="s">
        <v>4968</v>
      </c>
      <c r="E496" s="697" t="s">
        <v>4970</v>
      </c>
      <c r="F496" s="701">
        <v>139</v>
      </c>
      <c r="G496" s="701">
        <v>146645</v>
      </c>
      <c r="H496" s="701">
        <v>3.9639140424381671</v>
      </c>
      <c r="I496" s="701">
        <v>1055</v>
      </c>
      <c r="J496" s="701">
        <v>35</v>
      </c>
      <c r="K496" s="701">
        <v>36995</v>
      </c>
      <c r="L496" s="701">
        <v>1</v>
      </c>
      <c r="M496" s="701">
        <v>1057</v>
      </c>
      <c r="N496" s="701">
        <v>40</v>
      </c>
      <c r="O496" s="701">
        <v>42400</v>
      </c>
      <c r="P496" s="723">
        <v>1.1461008244357345</v>
      </c>
      <c r="Q496" s="702">
        <v>1060</v>
      </c>
    </row>
    <row r="497" spans="1:17" ht="14.4" customHeight="1" x14ac:dyDescent="0.3">
      <c r="A497" s="696" t="s">
        <v>4887</v>
      </c>
      <c r="B497" s="697" t="s">
        <v>4888</v>
      </c>
      <c r="C497" s="697" t="s">
        <v>2708</v>
      </c>
      <c r="D497" s="697" t="s">
        <v>4971</v>
      </c>
      <c r="E497" s="697" t="s">
        <v>4972</v>
      </c>
      <c r="F497" s="701">
        <v>4</v>
      </c>
      <c r="G497" s="701">
        <v>1152</v>
      </c>
      <c r="H497" s="701">
        <v>3.9861591695501728</v>
      </c>
      <c r="I497" s="701">
        <v>288</v>
      </c>
      <c r="J497" s="701">
        <v>1</v>
      </c>
      <c r="K497" s="701">
        <v>289</v>
      </c>
      <c r="L497" s="701">
        <v>1</v>
      </c>
      <c r="M497" s="701">
        <v>289</v>
      </c>
      <c r="N497" s="701">
        <v>5</v>
      </c>
      <c r="O497" s="701">
        <v>1445</v>
      </c>
      <c r="P497" s="723">
        <v>5</v>
      </c>
      <c r="Q497" s="702">
        <v>289</v>
      </c>
    </row>
    <row r="498" spans="1:17" ht="14.4" customHeight="1" x14ac:dyDescent="0.3">
      <c r="A498" s="696" t="s">
        <v>4887</v>
      </c>
      <c r="B498" s="697" t="s">
        <v>4888</v>
      </c>
      <c r="C498" s="697" t="s">
        <v>2708</v>
      </c>
      <c r="D498" s="697" t="s">
        <v>4973</v>
      </c>
      <c r="E498" s="697" t="s">
        <v>4974</v>
      </c>
      <c r="F498" s="701"/>
      <c r="G498" s="701"/>
      <c r="H498" s="701"/>
      <c r="I498" s="701"/>
      <c r="J498" s="701"/>
      <c r="K498" s="701"/>
      <c r="L498" s="701"/>
      <c r="M498" s="701"/>
      <c r="N498" s="701">
        <v>3</v>
      </c>
      <c r="O498" s="701">
        <v>0</v>
      </c>
      <c r="P498" s="723"/>
      <c r="Q498" s="702">
        <v>0</v>
      </c>
    </row>
    <row r="499" spans="1:17" ht="14.4" customHeight="1" x14ac:dyDescent="0.3">
      <c r="A499" s="696" t="s">
        <v>4887</v>
      </c>
      <c r="B499" s="697" t="s">
        <v>4888</v>
      </c>
      <c r="C499" s="697" t="s">
        <v>2708</v>
      </c>
      <c r="D499" s="697" t="s">
        <v>4973</v>
      </c>
      <c r="E499" s="697" t="s">
        <v>4975</v>
      </c>
      <c r="F499" s="701">
        <v>1</v>
      </c>
      <c r="G499" s="701">
        <v>0</v>
      </c>
      <c r="H499" s="701"/>
      <c r="I499" s="701">
        <v>0</v>
      </c>
      <c r="J499" s="701"/>
      <c r="K499" s="701"/>
      <c r="L499" s="701"/>
      <c r="M499" s="701"/>
      <c r="N499" s="701">
        <v>1</v>
      </c>
      <c r="O499" s="701">
        <v>0</v>
      </c>
      <c r="P499" s="723"/>
      <c r="Q499" s="702">
        <v>0</v>
      </c>
    </row>
    <row r="500" spans="1:17" ht="14.4" customHeight="1" x14ac:dyDescent="0.3">
      <c r="A500" s="696" t="s">
        <v>4887</v>
      </c>
      <c r="B500" s="697" t="s">
        <v>4888</v>
      </c>
      <c r="C500" s="697" t="s">
        <v>2708</v>
      </c>
      <c r="D500" s="697" t="s">
        <v>4976</v>
      </c>
      <c r="E500" s="697" t="s">
        <v>4977</v>
      </c>
      <c r="F500" s="701"/>
      <c r="G500" s="701"/>
      <c r="H500" s="701"/>
      <c r="I500" s="701"/>
      <c r="J500" s="701"/>
      <c r="K500" s="701"/>
      <c r="L500" s="701"/>
      <c r="M500" s="701"/>
      <c r="N500" s="701">
        <v>4</v>
      </c>
      <c r="O500" s="701">
        <v>19116</v>
      </c>
      <c r="P500" s="723"/>
      <c r="Q500" s="702">
        <v>4779</v>
      </c>
    </row>
    <row r="501" spans="1:17" ht="14.4" customHeight="1" x14ac:dyDescent="0.3">
      <c r="A501" s="696" t="s">
        <v>4887</v>
      </c>
      <c r="B501" s="697" t="s">
        <v>4888</v>
      </c>
      <c r="C501" s="697" t="s">
        <v>2708</v>
      </c>
      <c r="D501" s="697" t="s">
        <v>4978</v>
      </c>
      <c r="E501" s="697" t="s">
        <v>4979</v>
      </c>
      <c r="F501" s="701"/>
      <c r="G501" s="701"/>
      <c r="H501" s="701"/>
      <c r="I501" s="701"/>
      <c r="J501" s="701"/>
      <c r="K501" s="701"/>
      <c r="L501" s="701"/>
      <c r="M501" s="701"/>
      <c r="N501" s="701">
        <v>1</v>
      </c>
      <c r="O501" s="701">
        <v>609</v>
      </c>
      <c r="P501" s="723"/>
      <c r="Q501" s="702">
        <v>609</v>
      </c>
    </row>
    <row r="502" spans="1:17" ht="14.4" customHeight="1" x14ac:dyDescent="0.3">
      <c r="A502" s="696" t="s">
        <v>4887</v>
      </c>
      <c r="B502" s="697" t="s">
        <v>4888</v>
      </c>
      <c r="C502" s="697" t="s">
        <v>2708</v>
      </c>
      <c r="D502" s="697" t="s">
        <v>4980</v>
      </c>
      <c r="E502" s="697" t="s">
        <v>4981</v>
      </c>
      <c r="F502" s="701"/>
      <c r="G502" s="701"/>
      <c r="H502" s="701"/>
      <c r="I502" s="701"/>
      <c r="J502" s="701"/>
      <c r="K502" s="701"/>
      <c r="L502" s="701"/>
      <c r="M502" s="701"/>
      <c r="N502" s="701">
        <v>1</v>
      </c>
      <c r="O502" s="701">
        <v>2840</v>
      </c>
      <c r="P502" s="723"/>
      <c r="Q502" s="702">
        <v>2840</v>
      </c>
    </row>
    <row r="503" spans="1:17" ht="14.4" customHeight="1" x14ac:dyDescent="0.3">
      <c r="A503" s="696" t="s">
        <v>4982</v>
      </c>
      <c r="B503" s="697" t="s">
        <v>4983</v>
      </c>
      <c r="C503" s="697" t="s">
        <v>2708</v>
      </c>
      <c r="D503" s="697" t="s">
        <v>4984</v>
      </c>
      <c r="E503" s="697" t="s">
        <v>4985</v>
      </c>
      <c r="F503" s="701">
        <v>2293</v>
      </c>
      <c r="G503" s="701">
        <v>396689</v>
      </c>
      <c r="H503" s="701">
        <v>1.0245755138516532</v>
      </c>
      <c r="I503" s="701">
        <v>173</v>
      </c>
      <c r="J503" s="701">
        <v>2238</v>
      </c>
      <c r="K503" s="701">
        <v>387174</v>
      </c>
      <c r="L503" s="701">
        <v>1</v>
      </c>
      <c r="M503" s="701">
        <v>173</v>
      </c>
      <c r="N503" s="701">
        <v>2455</v>
      </c>
      <c r="O503" s="701">
        <v>427170</v>
      </c>
      <c r="P503" s="723">
        <v>1.1033023911729609</v>
      </c>
      <c r="Q503" s="702">
        <v>174</v>
      </c>
    </row>
    <row r="504" spans="1:17" ht="14.4" customHeight="1" x14ac:dyDescent="0.3">
      <c r="A504" s="696" t="s">
        <v>4982</v>
      </c>
      <c r="B504" s="697" t="s">
        <v>4983</v>
      </c>
      <c r="C504" s="697" t="s">
        <v>2708</v>
      </c>
      <c r="D504" s="697" t="s">
        <v>4986</v>
      </c>
      <c r="E504" s="697" t="s">
        <v>4987</v>
      </c>
      <c r="F504" s="701">
        <v>31</v>
      </c>
      <c r="G504" s="701">
        <v>36363</v>
      </c>
      <c r="H504" s="701">
        <v>1.5447323704333049</v>
      </c>
      <c r="I504" s="701">
        <v>1173</v>
      </c>
      <c r="J504" s="701">
        <v>22</v>
      </c>
      <c r="K504" s="701">
        <v>23540</v>
      </c>
      <c r="L504" s="701">
        <v>1</v>
      </c>
      <c r="M504" s="701">
        <v>1070</v>
      </c>
      <c r="N504" s="701">
        <v>1</v>
      </c>
      <c r="O504" s="701">
        <v>1070</v>
      </c>
      <c r="P504" s="723">
        <v>4.5454545454545456E-2</v>
      </c>
      <c r="Q504" s="702">
        <v>1070</v>
      </c>
    </row>
    <row r="505" spans="1:17" ht="14.4" customHeight="1" x14ac:dyDescent="0.3">
      <c r="A505" s="696" t="s">
        <v>4982</v>
      </c>
      <c r="B505" s="697" t="s">
        <v>4983</v>
      </c>
      <c r="C505" s="697" t="s">
        <v>2708</v>
      </c>
      <c r="D505" s="697" t="s">
        <v>4988</v>
      </c>
      <c r="E505" s="697" t="s">
        <v>4989</v>
      </c>
      <c r="F505" s="701">
        <v>114</v>
      </c>
      <c r="G505" s="701">
        <v>4674</v>
      </c>
      <c r="H505" s="701">
        <v>0.64718914428136254</v>
      </c>
      <c r="I505" s="701">
        <v>41</v>
      </c>
      <c r="J505" s="701">
        <v>157</v>
      </c>
      <c r="K505" s="701">
        <v>7222</v>
      </c>
      <c r="L505" s="701">
        <v>1</v>
      </c>
      <c r="M505" s="701">
        <v>46</v>
      </c>
      <c r="N505" s="701">
        <v>115</v>
      </c>
      <c r="O505" s="701">
        <v>5290</v>
      </c>
      <c r="P505" s="723">
        <v>0.73248407643312097</v>
      </c>
      <c r="Q505" s="702">
        <v>46</v>
      </c>
    </row>
    <row r="506" spans="1:17" ht="14.4" customHeight="1" x14ac:dyDescent="0.3">
      <c r="A506" s="696" t="s">
        <v>4982</v>
      </c>
      <c r="B506" s="697" t="s">
        <v>4983</v>
      </c>
      <c r="C506" s="697" t="s">
        <v>2708</v>
      </c>
      <c r="D506" s="697" t="s">
        <v>4988</v>
      </c>
      <c r="E506" s="697" t="s">
        <v>4990</v>
      </c>
      <c r="F506" s="701">
        <v>3</v>
      </c>
      <c r="G506" s="701">
        <v>123</v>
      </c>
      <c r="H506" s="701"/>
      <c r="I506" s="701">
        <v>41</v>
      </c>
      <c r="J506" s="701"/>
      <c r="K506" s="701"/>
      <c r="L506" s="701"/>
      <c r="M506" s="701"/>
      <c r="N506" s="701">
        <v>2</v>
      </c>
      <c r="O506" s="701">
        <v>92</v>
      </c>
      <c r="P506" s="723"/>
      <c r="Q506" s="702">
        <v>46</v>
      </c>
    </row>
    <row r="507" spans="1:17" ht="14.4" customHeight="1" x14ac:dyDescent="0.3">
      <c r="A507" s="696" t="s">
        <v>4982</v>
      </c>
      <c r="B507" s="697" t="s">
        <v>4983</v>
      </c>
      <c r="C507" s="697" t="s">
        <v>2708</v>
      </c>
      <c r="D507" s="697" t="s">
        <v>4857</v>
      </c>
      <c r="E507" s="697" t="s">
        <v>4858</v>
      </c>
      <c r="F507" s="701">
        <v>26</v>
      </c>
      <c r="G507" s="701">
        <v>9984</v>
      </c>
      <c r="H507" s="701">
        <v>0.56416341752839461</v>
      </c>
      <c r="I507" s="701">
        <v>384</v>
      </c>
      <c r="J507" s="701">
        <v>51</v>
      </c>
      <c r="K507" s="701">
        <v>17697</v>
      </c>
      <c r="L507" s="701">
        <v>1</v>
      </c>
      <c r="M507" s="701">
        <v>347</v>
      </c>
      <c r="N507" s="701">
        <v>39</v>
      </c>
      <c r="O507" s="701">
        <v>13533</v>
      </c>
      <c r="P507" s="723">
        <v>0.76470588235294112</v>
      </c>
      <c r="Q507" s="702">
        <v>347</v>
      </c>
    </row>
    <row r="508" spans="1:17" ht="14.4" customHeight="1" x14ac:dyDescent="0.3">
      <c r="A508" s="696" t="s">
        <v>4982</v>
      </c>
      <c r="B508" s="697" t="s">
        <v>4983</v>
      </c>
      <c r="C508" s="697" t="s">
        <v>2708</v>
      </c>
      <c r="D508" s="697" t="s">
        <v>4991</v>
      </c>
      <c r="E508" s="697" t="s">
        <v>4992</v>
      </c>
      <c r="F508" s="701">
        <v>6</v>
      </c>
      <c r="G508" s="701">
        <v>222</v>
      </c>
      <c r="H508" s="701">
        <v>0.36274509803921567</v>
      </c>
      <c r="I508" s="701">
        <v>37</v>
      </c>
      <c r="J508" s="701">
        <v>12</v>
      </c>
      <c r="K508" s="701">
        <v>612</v>
      </c>
      <c r="L508" s="701">
        <v>1</v>
      </c>
      <c r="M508" s="701">
        <v>51</v>
      </c>
      <c r="N508" s="701"/>
      <c r="O508" s="701"/>
      <c r="P508" s="723"/>
      <c r="Q508" s="702"/>
    </row>
    <row r="509" spans="1:17" ht="14.4" customHeight="1" x14ac:dyDescent="0.3">
      <c r="A509" s="696" t="s">
        <v>4982</v>
      </c>
      <c r="B509" s="697" t="s">
        <v>4983</v>
      </c>
      <c r="C509" s="697" t="s">
        <v>2708</v>
      </c>
      <c r="D509" s="697" t="s">
        <v>4991</v>
      </c>
      <c r="E509" s="697" t="s">
        <v>4993</v>
      </c>
      <c r="F509" s="701">
        <v>72</v>
      </c>
      <c r="G509" s="701">
        <v>2664</v>
      </c>
      <c r="H509" s="701">
        <v>2.3743315508021392</v>
      </c>
      <c r="I509" s="701">
        <v>37</v>
      </c>
      <c r="J509" s="701">
        <v>22</v>
      </c>
      <c r="K509" s="701">
        <v>1122</v>
      </c>
      <c r="L509" s="701">
        <v>1</v>
      </c>
      <c r="M509" s="701">
        <v>51</v>
      </c>
      <c r="N509" s="701">
        <v>10</v>
      </c>
      <c r="O509" s="701">
        <v>510</v>
      </c>
      <c r="P509" s="723">
        <v>0.45454545454545453</v>
      </c>
      <c r="Q509" s="702">
        <v>51</v>
      </c>
    </row>
    <row r="510" spans="1:17" ht="14.4" customHeight="1" x14ac:dyDescent="0.3">
      <c r="A510" s="696" t="s">
        <v>4982</v>
      </c>
      <c r="B510" s="697" t="s">
        <v>4983</v>
      </c>
      <c r="C510" s="697" t="s">
        <v>2708</v>
      </c>
      <c r="D510" s="697" t="s">
        <v>4994</v>
      </c>
      <c r="E510" s="697" t="s">
        <v>4995</v>
      </c>
      <c r="F510" s="701">
        <v>21</v>
      </c>
      <c r="G510" s="701">
        <v>9366</v>
      </c>
      <c r="H510" s="701">
        <v>0.34032193597616367</v>
      </c>
      <c r="I510" s="701">
        <v>446</v>
      </c>
      <c r="J510" s="701">
        <v>73</v>
      </c>
      <c r="K510" s="701">
        <v>27521</v>
      </c>
      <c r="L510" s="701">
        <v>1</v>
      </c>
      <c r="M510" s="701">
        <v>377</v>
      </c>
      <c r="N510" s="701">
        <v>75</v>
      </c>
      <c r="O510" s="701">
        <v>28275</v>
      </c>
      <c r="P510" s="723">
        <v>1.0273972602739727</v>
      </c>
      <c r="Q510" s="702">
        <v>377</v>
      </c>
    </row>
    <row r="511" spans="1:17" ht="14.4" customHeight="1" x14ac:dyDescent="0.3">
      <c r="A511" s="696" t="s">
        <v>4982</v>
      </c>
      <c r="B511" s="697" t="s">
        <v>4983</v>
      </c>
      <c r="C511" s="697" t="s">
        <v>2708</v>
      </c>
      <c r="D511" s="697" t="s">
        <v>4996</v>
      </c>
      <c r="E511" s="697" t="s">
        <v>4997</v>
      </c>
      <c r="F511" s="701">
        <v>4</v>
      </c>
      <c r="G511" s="701">
        <v>168</v>
      </c>
      <c r="H511" s="701">
        <v>4.9411764705882355</v>
      </c>
      <c r="I511" s="701">
        <v>42</v>
      </c>
      <c r="J511" s="701">
        <v>1</v>
      </c>
      <c r="K511" s="701">
        <v>34</v>
      </c>
      <c r="L511" s="701">
        <v>1</v>
      </c>
      <c r="M511" s="701">
        <v>34</v>
      </c>
      <c r="N511" s="701">
        <v>5</v>
      </c>
      <c r="O511" s="701">
        <v>170</v>
      </c>
      <c r="P511" s="723">
        <v>5</v>
      </c>
      <c r="Q511" s="702">
        <v>34</v>
      </c>
    </row>
    <row r="512" spans="1:17" ht="14.4" customHeight="1" x14ac:dyDescent="0.3">
      <c r="A512" s="696" t="s">
        <v>4982</v>
      </c>
      <c r="B512" s="697" t="s">
        <v>4983</v>
      </c>
      <c r="C512" s="697" t="s">
        <v>2708</v>
      </c>
      <c r="D512" s="697" t="s">
        <v>4998</v>
      </c>
      <c r="E512" s="697" t="s">
        <v>4999</v>
      </c>
      <c r="F512" s="701">
        <v>35</v>
      </c>
      <c r="G512" s="701">
        <v>17220</v>
      </c>
      <c r="H512" s="701">
        <v>0.93893129770992367</v>
      </c>
      <c r="I512" s="701">
        <v>492</v>
      </c>
      <c r="J512" s="701">
        <v>35</v>
      </c>
      <c r="K512" s="701">
        <v>18340</v>
      </c>
      <c r="L512" s="701">
        <v>1</v>
      </c>
      <c r="M512" s="701">
        <v>524</v>
      </c>
      <c r="N512" s="701">
        <v>6</v>
      </c>
      <c r="O512" s="701">
        <v>3144</v>
      </c>
      <c r="P512" s="723">
        <v>0.17142857142857143</v>
      </c>
      <c r="Q512" s="702">
        <v>524</v>
      </c>
    </row>
    <row r="513" spans="1:17" ht="14.4" customHeight="1" x14ac:dyDescent="0.3">
      <c r="A513" s="696" t="s">
        <v>4982</v>
      </c>
      <c r="B513" s="697" t="s">
        <v>4983</v>
      </c>
      <c r="C513" s="697" t="s">
        <v>2708</v>
      </c>
      <c r="D513" s="697" t="s">
        <v>5000</v>
      </c>
      <c r="E513" s="697" t="s">
        <v>5001</v>
      </c>
      <c r="F513" s="701">
        <v>22</v>
      </c>
      <c r="G513" s="701">
        <v>682</v>
      </c>
      <c r="H513" s="701">
        <v>0.38596491228070173</v>
      </c>
      <c r="I513" s="701">
        <v>31</v>
      </c>
      <c r="J513" s="701">
        <v>31</v>
      </c>
      <c r="K513" s="701">
        <v>1767</v>
      </c>
      <c r="L513" s="701">
        <v>1</v>
      </c>
      <c r="M513" s="701">
        <v>57</v>
      </c>
      <c r="N513" s="701">
        <v>23</v>
      </c>
      <c r="O513" s="701">
        <v>1318</v>
      </c>
      <c r="P513" s="723">
        <v>0.745897000565931</v>
      </c>
      <c r="Q513" s="702">
        <v>57.304347826086953</v>
      </c>
    </row>
    <row r="514" spans="1:17" ht="14.4" customHeight="1" x14ac:dyDescent="0.3">
      <c r="A514" s="696" t="s">
        <v>4982</v>
      </c>
      <c r="B514" s="697" t="s">
        <v>4983</v>
      </c>
      <c r="C514" s="697" t="s">
        <v>2708</v>
      </c>
      <c r="D514" s="697" t="s">
        <v>5002</v>
      </c>
      <c r="E514" s="697" t="s">
        <v>5003</v>
      </c>
      <c r="F514" s="701"/>
      <c r="G514" s="701"/>
      <c r="H514" s="701"/>
      <c r="I514" s="701"/>
      <c r="J514" s="701"/>
      <c r="K514" s="701"/>
      <c r="L514" s="701"/>
      <c r="M514" s="701"/>
      <c r="N514" s="701">
        <v>1</v>
      </c>
      <c r="O514" s="701">
        <v>225</v>
      </c>
      <c r="P514" s="723"/>
      <c r="Q514" s="702">
        <v>225</v>
      </c>
    </row>
    <row r="515" spans="1:17" ht="14.4" customHeight="1" x14ac:dyDescent="0.3">
      <c r="A515" s="696" t="s">
        <v>4982</v>
      </c>
      <c r="B515" s="697" t="s">
        <v>4983</v>
      </c>
      <c r="C515" s="697" t="s">
        <v>2708</v>
      </c>
      <c r="D515" s="697" t="s">
        <v>5002</v>
      </c>
      <c r="E515" s="697" t="s">
        <v>5004</v>
      </c>
      <c r="F515" s="701">
        <v>6</v>
      </c>
      <c r="G515" s="701">
        <v>1248</v>
      </c>
      <c r="H515" s="701">
        <v>1.3928571428571428</v>
      </c>
      <c r="I515" s="701">
        <v>208</v>
      </c>
      <c r="J515" s="701">
        <v>4</v>
      </c>
      <c r="K515" s="701">
        <v>896</v>
      </c>
      <c r="L515" s="701">
        <v>1</v>
      </c>
      <c r="M515" s="701">
        <v>224</v>
      </c>
      <c r="N515" s="701">
        <v>2</v>
      </c>
      <c r="O515" s="701">
        <v>450</v>
      </c>
      <c r="P515" s="723">
        <v>0.5022321428571429</v>
      </c>
      <c r="Q515" s="702">
        <v>225</v>
      </c>
    </row>
    <row r="516" spans="1:17" ht="14.4" customHeight="1" x14ac:dyDescent="0.3">
      <c r="A516" s="696" t="s">
        <v>4982</v>
      </c>
      <c r="B516" s="697" t="s">
        <v>4983</v>
      </c>
      <c r="C516" s="697" t="s">
        <v>2708</v>
      </c>
      <c r="D516" s="697" t="s">
        <v>5005</v>
      </c>
      <c r="E516" s="697" t="s">
        <v>5006</v>
      </c>
      <c r="F516" s="701">
        <v>6</v>
      </c>
      <c r="G516" s="701">
        <v>2304</v>
      </c>
      <c r="H516" s="701">
        <v>1.0415913200723328</v>
      </c>
      <c r="I516" s="701">
        <v>384</v>
      </c>
      <c r="J516" s="701">
        <v>4</v>
      </c>
      <c r="K516" s="701">
        <v>2212</v>
      </c>
      <c r="L516" s="701">
        <v>1</v>
      </c>
      <c r="M516" s="701">
        <v>553</v>
      </c>
      <c r="N516" s="701">
        <v>3</v>
      </c>
      <c r="O516" s="701">
        <v>1662</v>
      </c>
      <c r="P516" s="723">
        <v>0.75135623869801083</v>
      </c>
      <c r="Q516" s="702">
        <v>554</v>
      </c>
    </row>
    <row r="517" spans="1:17" ht="14.4" customHeight="1" x14ac:dyDescent="0.3">
      <c r="A517" s="696" t="s">
        <v>4982</v>
      </c>
      <c r="B517" s="697" t="s">
        <v>4983</v>
      </c>
      <c r="C517" s="697" t="s">
        <v>2708</v>
      </c>
      <c r="D517" s="697" t="s">
        <v>5007</v>
      </c>
      <c r="E517" s="697" t="s">
        <v>5008</v>
      </c>
      <c r="F517" s="701">
        <v>9</v>
      </c>
      <c r="G517" s="701">
        <v>1251</v>
      </c>
      <c r="H517" s="701">
        <v>1.7496503496503497</v>
      </c>
      <c r="I517" s="701">
        <v>139</v>
      </c>
      <c r="J517" s="701">
        <v>5</v>
      </c>
      <c r="K517" s="701">
        <v>715</v>
      </c>
      <c r="L517" s="701">
        <v>1</v>
      </c>
      <c r="M517" s="701">
        <v>143</v>
      </c>
      <c r="N517" s="701">
        <v>6</v>
      </c>
      <c r="O517" s="701">
        <v>858</v>
      </c>
      <c r="P517" s="723">
        <v>1.2</v>
      </c>
      <c r="Q517" s="702">
        <v>143</v>
      </c>
    </row>
    <row r="518" spans="1:17" ht="14.4" customHeight="1" x14ac:dyDescent="0.3">
      <c r="A518" s="696" t="s">
        <v>4982</v>
      </c>
      <c r="B518" s="697" t="s">
        <v>4983</v>
      </c>
      <c r="C518" s="697" t="s">
        <v>2708</v>
      </c>
      <c r="D518" s="697" t="s">
        <v>5007</v>
      </c>
      <c r="E518" s="697" t="s">
        <v>5009</v>
      </c>
      <c r="F518" s="701">
        <v>2</v>
      </c>
      <c r="G518" s="701">
        <v>278</v>
      </c>
      <c r="H518" s="701">
        <v>0.64801864801864806</v>
      </c>
      <c r="I518" s="701">
        <v>139</v>
      </c>
      <c r="J518" s="701">
        <v>3</v>
      </c>
      <c r="K518" s="701">
        <v>429</v>
      </c>
      <c r="L518" s="701">
        <v>1</v>
      </c>
      <c r="M518" s="701">
        <v>143</v>
      </c>
      <c r="N518" s="701">
        <v>2</v>
      </c>
      <c r="O518" s="701">
        <v>286</v>
      </c>
      <c r="P518" s="723">
        <v>0.66666666666666663</v>
      </c>
      <c r="Q518" s="702">
        <v>143</v>
      </c>
    </row>
    <row r="519" spans="1:17" ht="14.4" customHeight="1" x14ac:dyDescent="0.3">
      <c r="A519" s="696" t="s">
        <v>4982</v>
      </c>
      <c r="B519" s="697" t="s">
        <v>4983</v>
      </c>
      <c r="C519" s="697" t="s">
        <v>2708</v>
      </c>
      <c r="D519" s="697" t="s">
        <v>5010</v>
      </c>
      <c r="E519" s="697" t="s">
        <v>5011</v>
      </c>
      <c r="F519" s="701">
        <v>39</v>
      </c>
      <c r="G519" s="701">
        <v>4017</v>
      </c>
      <c r="H519" s="701">
        <v>1.4714285714285715</v>
      </c>
      <c r="I519" s="701">
        <v>103</v>
      </c>
      <c r="J519" s="701">
        <v>42</v>
      </c>
      <c r="K519" s="701">
        <v>2730</v>
      </c>
      <c r="L519" s="701">
        <v>1</v>
      </c>
      <c r="M519" s="701">
        <v>65</v>
      </c>
      <c r="N519" s="701">
        <v>28</v>
      </c>
      <c r="O519" s="701">
        <v>1820</v>
      </c>
      <c r="P519" s="723">
        <v>0.66666666666666663</v>
      </c>
      <c r="Q519" s="702">
        <v>65</v>
      </c>
    </row>
    <row r="520" spans="1:17" ht="14.4" customHeight="1" x14ac:dyDescent="0.3">
      <c r="A520" s="696" t="s">
        <v>4982</v>
      </c>
      <c r="B520" s="697" t="s">
        <v>4983</v>
      </c>
      <c r="C520" s="697" t="s">
        <v>2708</v>
      </c>
      <c r="D520" s="697" t="s">
        <v>5010</v>
      </c>
      <c r="E520" s="697" t="s">
        <v>5012</v>
      </c>
      <c r="F520" s="701">
        <v>12</v>
      </c>
      <c r="G520" s="701">
        <v>1236</v>
      </c>
      <c r="H520" s="701">
        <v>4.7538461538461538</v>
      </c>
      <c r="I520" s="701">
        <v>103</v>
      </c>
      <c r="J520" s="701">
        <v>4</v>
      </c>
      <c r="K520" s="701">
        <v>260</v>
      </c>
      <c r="L520" s="701">
        <v>1</v>
      </c>
      <c r="M520" s="701">
        <v>65</v>
      </c>
      <c r="N520" s="701"/>
      <c r="O520" s="701"/>
      <c r="P520" s="723"/>
      <c r="Q520" s="702"/>
    </row>
    <row r="521" spans="1:17" ht="14.4" customHeight="1" x14ac:dyDescent="0.3">
      <c r="A521" s="696" t="s">
        <v>4982</v>
      </c>
      <c r="B521" s="697" t="s">
        <v>4983</v>
      </c>
      <c r="C521" s="697" t="s">
        <v>2708</v>
      </c>
      <c r="D521" s="697" t="s">
        <v>5013</v>
      </c>
      <c r="E521" s="697" t="s">
        <v>5014</v>
      </c>
      <c r="F521" s="701">
        <v>1652</v>
      </c>
      <c r="G521" s="701">
        <v>193284</v>
      </c>
      <c r="H521" s="701">
        <v>0.78999771114671546</v>
      </c>
      <c r="I521" s="701">
        <v>117</v>
      </c>
      <c r="J521" s="701">
        <v>1799</v>
      </c>
      <c r="K521" s="701">
        <v>244664</v>
      </c>
      <c r="L521" s="701">
        <v>1</v>
      </c>
      <c r="M521" s="701">
        <v>136</v>
      </c>
      <c r="N521" s="701">
        <v>2020</v>
      </c>
      <c r="O521" s="701">
        <v>275999</v>
      </c>
      <c r="P521" s="723">
        <v>1.1280736029820488</v>
      </c>
      <c r="Q521" s="702">
        <v>136.63316831683167</v>
      </c>
    </row>
    <row r="522" spans="1:17" ht="14.4" customHeight="1" x14ac:dyDescent="0.3">
      <c r="A522" s="696" t="s">
        <v>4982</v>
      </c>
      <c r="B522" s="697" t="s">
        <v>4983</v>
      </c>
      <c r="C522" s="697" t="s">
        <v>2708</v>
      </c>
      <c r="D522" s="697" t="s">
        <v>5015</v>
      </c>
      <c r="E522" s="697" t="s">
        <v>5016</v>
      </c>
      <c r="F522" s="701">
        <v>928</v>
      </c>
      <c r="G522" s="701">
        <v>84448</v>
      </c>
      <c r="H522" s="701">
        <v>0.94308943089430897</v>
      </c>
      <c r="I522" s="701">
        <v>91</v>
      </c>
      <c r="J522" s="701">
        <v>984</v>
      </c>
      <c r="K522" s="701">
        <v>89544</v>
      </c>
      <c r="L522" s="701">
        <v>1</v>
      </c>
      <c r="M522" s="701">
        <v>91</v>
      </c>
      <c r="N522" s="701">
        <v>1022</v>
      </c>
      <c r="O522" s="701">
        <v>93002</v>
      </c>
      <c r="P522" s="723">
        <v>1.0386178861788617</v>
      </c>
      <c r="Q522" s="702">
        <v>91</v>
      </c>
    </row>
    <row r="523" spans="1:17" ht="14.4" customHeight="1" x14ac:dyDescent="0.3">
      <c r="A523" s="696" t="s">
        <v>4982</v>
      </c>
      <c r="B523" s="697" t="s">
        <v>4983</v>
      </c>
      <c r="C523" s="697" t="s">
        <v>2708</v>
      </c>
      <c r="D523" s="697" t="s">
        <v>5017</v>
      </c>
      <c r="E523" s="697" t="s">
        <v>5018</v>
      </c>
      <c r="F523" s="701">
        <v>2</v>
      </c>
      <c r="G523" s="701">
        <v>198</v>
      </c>
      <c r="H523" s="701">
        <v>0.72262773722627738</v>
      </c>
      <c r="I523" s="701">
        <v>99</v>
      </c>
      <c r="J523" s="701">
        <v>2</v>
      </c>
      <c r="K523" s="701">
        <v>274</v>
      </c>
      <c r="L523" s="701">
        <v>1</v>
      </c>
      <c r="M523" s="701">
        <v>137</v>
      </c>
      <c r="N523" s="701">
        <v>10</v>
      </c>
      <c r="O523" s="701">
        <v>1385</v>
      </c>
      <c r="P523" s="723">
        <v>5.054744525547445</v>
      </c>
      <c r="Q523" s="702">
        <v>138.5</v>
      </c>
    </row>
    <row r="524" spans="1:17" ht="14.4" customHeight="1" x14ac:dyDescent="0.3">
      <c r="A524" s="696" t="s">
        <v>4982</v>
      </c>
      <c r="B524" s="697" t="s">
        <v>4983</v>
      </c>
      <c r="C524" s="697" t="s">
        <v>2708</v>
      </c>
      <c r="D524" s="697" t="s">
        <v>5017</v>
      </c>
      <c r="E524" s="697" t="s">
        <v>5019</v>
      </c>
      <c r="F524" s="701"/>
      <c r="G524" s="701"/>
      <c r="H524" s="701"/>
      <c r="I524" s="701"/>
      <c r="J524" s="701">
        <v>5</v>
      </c>
      <c r="K524" s="701">
        <v>685</v>
      </c>
      <c r="L524" s="701">
        <v>1</v>
      </c>
      <c r="M524" s="701">
        <v>137</v>
      </c>
      <c r="N524" s="701"/>
      <c r="O524" s="701"/>
      <c r="P524" s="723"/>
      <c r="Q524" s="702"/>
    </row>
    <row r="525" spans="1:17" ht="14.4" customHeight="1" x14ac:dyDescent="0.3">
      <c r="A525" s="696" t="s">
        <v>4982</v>
      </c>
      <c r="B525" s="697" t="s">
        <v>4983</v>
      </c>
      <c r="C525" s="697" t="s">
        <v>2708</v>
      </c>
      <c r="D525" s="697" t="s">
        <v>5020</v>
      </c>
      <c r="E525" s="697" t="s">
        <v>5021</v>
      </c>
      <c r="F525" s="701">
        <v>93</v>
      </c>
      <c r="G525" s="701">
        <v>1953</v>
      </c>
      <c r="H525" s="701">
        <v>0.23117897727272727</v>
      </c>
      <c r="I525" s="701">
        <v>21</v>
      </c>
      <c r="J525" s="701">
        <v>128</v>
      </c>
      <c r="K525" s="701">
        <v>8448</v>
      </c>
      <c r="L525" s="701">
        <v>1</v>
      </c>
      <c r="M525" s="701">
        <v>66</v>
      </c>
      <c r="N525" s="701">
        <v>112</v>
      </c>
      <c r="O525" s="701">
        <v>7461</v>
      </c>
      <c r="P525" s="723">
        <v>0.88316761363636365</v>
      </c>
      <c r="Q525" s="702">
        <v>66.616071428571431</v>
      </c>
    </row>
    <row r="526" spans="1:17" ht="14.4" customHeight="1" x14ac:dyDescent="0.3">
      <c r="A526" s="696" t="s">
        <v>4982</v>
      </c>
      <c r="B526" s="697" t="s">
        <v>4983</v>
      </c>
      <c r="C526" s="697" t="s">
        <v>2708</v>
      </c>
      <c r="D526" s="697" t="s">
        <v>5020</v>
      </c>
      <c r="E526" s="697" t="s">
        <v>5022</v>
      </c>
      <c r="F526" s="701">
        <v>15</v>
      </c>
      <c r="G526" s="701">
        <v>315</v>
      </c>
      <c r="H526" s="701">
        <v>0.39772727272727271</v>
      </c>
      <c r="I526" s="701">
        <v>21</v>
      </c>
      <c r="J526" s="701">
        <v>12</v>
      </c>
      <c r="K526" s="701">
        <v>792</v>
      </c>
      <c r="L526" s="701">
        <v>1</v>
      </c>
      <c r="M526" s="701">
        <v>66</v>
      </c>
      <c r="N526" s="701">
        <v>60</v>
      </c>
      <c r="O526" s="701">
        <v>3990</v>
      </c>
      <c r="P526" s="723">
        <v>5.0378787878787881</v>
      </c>
      <c r="Q526" s="702">
        <v>66.5</v>
      </c>
    </row>
    <row r="527" spans="1:17" ht="14.4" customHeight="1" x14ac:dyDescent="0.3">
      <c r="A527" s="696" t="s">
        <v>4982</v>
      </c>
      <c r="B527" s="697" t="s">
        <v>4983</v>
      </c>
      <c r="C527" s="697" t="s">
        <v>2708</v>
      </c>
      <c r="D527" s="697" t="s">
        <v>4867</v>
      </c>
      <c r="E527" s="697" t="s">
        <v>4868</v>
      </c>
      <c r="F527" s="701">
        <v>170</v>
      </c>
      <c r="G527" s="701">
        <v>82960</v>
      </c>
      <c r="H527" s="701">
        <v>2.3204296263146116</v>
      </c>
      <c r="I527" s="701">
        <v>488</v>
      </c>
      <c r="J527" s="701">
        <v>109</v>
      </c>
      <c r="K527" s="701">
        <v>35752</v>
      </c>
      <c r="L527" s="701">
        <v>1</v>
      </c>
      <c r="M527" s="701">
        <v>328</v>
      </c>
      <c r="N527" s="701">
        <v>84</v>
      </c>
      <c r="O527" s="701">
        <v>27552</v>
      </c>
      <c r="P527" s="723">
        <v>0.77064220183486243</v>
      </c>
      <c r="Q527" s="702">
        <v>328</v>
      </c>
    </row>
    <row r="528" spans="1:17" ht="14.4" customHeight="1" x14ac:dyDescent="0.3">
      <c r="A528" s="696" t="s">
        <v>4982</v>
      </c>
      <c r="B528" s="697" t="s">
        <v>4983</v>
      </c>
      <c r="C528" s="697" t="s">
        <v>2708</v>
      </c>
      <c r="D528" s="697" t="s">
        <v>5023</v>
      </c>
      <c r="E528" s="697" t="s">
        <v>5024</v>
      </c>
      <c r="F528" s="701">
        <v>193</v>
      </c>
      <c r="G528" s="701">
        <v>7913</v>
      </c>
      <c r="H528" s="701">
        <v>0.88661064425770308</v>
      </c>
      <c r="I528" s="701">
        <v>41</v>
      </c>
      <c r="J528" s="701">
        <v>175</v>
      </c>
      <c r="K528" s="701">
        <v>8925</v>
      </c>
      <c r="L528" s="701">
        <v>1</v>
      </c>
      <c r="M528" s="701">
        <v>51</v>
      </c>
      <c r="N528" s="701">
        <v>198</v>
      </c>
      <c r="O528" s="701">
        <v>10098</v>
      </c>
      <c r="P528" s="723">
        <v>1.1314285714285715</v>
      </c>
      <c r="Q528" s="702">
        <v>51</v>
      </c>
    </row>
    <row r="529" spans="1:17" ht="14.4" customHeight="1" x14ac:dyDescent="0.3">
      <c r="A529" s="696" t="s">
        <v>4982</v>
      </c>
      <c r="B529" s="697" t="s">
        <v>4983</v>
      </c>
      <c r="C529" s="697" t="s">
        <v>2708</v>
      </c>
      <c r="D529" s="697" t="s">
        <v>5023</v>
      </c>
      <c r="E529" s="697" t="s">
        <v>5025</v>
      </c>
      <c r="F529" s="701">
        <v>6</v>
      </c>
      <c r="G529" s="701">
        <v>246</v>
      </c>
      <c r="H529" s="701"/>
      <c r="I529" s="701">
        <v>41</v>
      </c>
      <c r="J529" s="701"/>
      <c r="K529" s="701"/>
      <c r="L529" s="701"/>
      <c r="M529" s="701"/>
      <c r="N529" s="701"/>
      <c r="O529" s="701"/>
      <c r="P529" s="723"/>
      <c r="Q529" s="702"/>
    </row>
    <row r="530" spans="1:17" ht="14.4" customHeight="1" x14ac:dyDescent="0.3">
      <c r="A530" s="696" t="s">
        <v>4982</v>
      </c>
      <c r="B530" s="697" t="s">
        <v>4983</v>
      </c>
      <c r="C530" s="697" t="s">
        <v>2708</v>
      </c>
      <c r="D530" s="697" t="s">
        <v>5026</v>
      </c>
      <c r="E530" s="697" t="s">
        <v>5027</v>
      </c>
      <c r="F530" s="701"/>
      <c r="G530" s="701"/>
      <c r="H530" s="701"/>
      <c r="I530" s="701"/>
      <c r="J530" s="701">
        <v>5</v>
      </c>
      <c r="K530" s="701">
        <v>1035</v>
      </c>
      <c r="L530" s="701">
        <v>1</v>
      </c>
      <c r="M530" s="701">
        <v>207</v>
      </c>
      <c r="N530" s="701">
        <v>2</v>
      </c>
      <c r="O530" s="701">
        <v>414</v>
      </c>
      <c r="P530" s="723">
        <v>0.4</v>
      </c>
      <c r="Q530" s="702">
        <v>207</v>
      </c>
    </row>
    <row r="531" spans="1:17" ht="14.4" customHeight="1" x14ac:dyDescent="0.3">
      <c r="A531" s="696" t="s">
        <v>4982</v>
      </c>
      <c r="B531" s="697" t="s">
        <v>4983</v>
      </c>
      <c r="C531" s="697" t="s">
        <v>2708</v>
      </c>
      <c r="D531" s="697" t="s">
        <v>5026</v>
      </c>
      <c r="E531" s="697" t="s">
        <v>5028</v>
      </c>
      <c r="F531" s="701">
        <v>11</v>
      </c>
      <c r="G531" s="701">
        <v>2453</v>
      </c>
      <c r="H531" s="701">
        <v>11.85024154589372</v>
      </c>
      <c r="I531" s="701">
        <v>223</v>
      </c>
      <c r="J531" s="701">
        <v>1</v>
      </c>
      <c r="K531" s="701">
        <v>207</v>
      </c>
      <c r="L531" s="701">
        <v>1</v>
      </c>
      <c r="M531" s="701">
        <v>207</v>
      </c>
      <c r="N531" s="701">
        <v>6</v>
      </c>
      <c r="O531" s="701">
        <v>1242</v>
      </c>
      <c r="P531" s="723">
        <v>6</v>
      </c>
      <c r="Q531" s="702">
        <v>207</v>
      </c>
    </row>
    <row r="532" spans="1:17" ht="14.4" customHeight="1" x14ac:dyDescent="0.3">
      <c r="A532" s="696" t="s">
        <v>4982</v>
      </c>
      <c r="B532" s="697" t="s">
        <v>4983</v>
      </c>
      <c r="C532" s="697" t="s">
        <v>2708</v>
      </c>
      <c r="D532" s="697" t="s">
        <v>5029</v>
      </c>
      <c r="E532" s="697" t="s">
        <v>5030</v>
      </c>
      <c r="F532" s="701">
        <v>1</v>
      </c>
      <c r="G532" s="701">
        <v>2112</v>
      </c>
      <c r="H532" s="701"/>
      <c r="I532" s="701">
        <v>2112</v>
      </c>
      <c r="J532" s="701"/>
      <c r="K532" s="701"/>
      <c r="L532" s="701"/>
      <c r="M532" s="701"/>
      <c r="N532" s="701"/>
      <c r="O532" s="701"/>
      <c r="P532" s="723"/>
      <c r="Q532" s="702"/>
    </row>
    <row r="533" spans="1:17" ht="14.4" customHeight="1" x14ac:dyDescent="0.3">
      <c r="A533" s="696" t="s">
        <v>4982</v>
      </c>
      <c r="B533" s="697" t="s">
        <v>4983</v>
      </c>
      <c r="C533" s="697" t="s">
        <v>2708</v>
      </c>
      <c r="D533" s="697" t="s">
        <v>5031</v>
      </c>
      <c r="E533" s="697" t="s">
        <v>5032</v>
      </c>
      <c r="F533" s="701">
        <v>22</v>
      </c>
      <c r="G533" s="701">
        <v>13508</v>
      </c>
      <c r="H533" s="701">
        <v>1.2262164124909223</v>
      </c>
      <c r="I533" s="701">
        <v>614</v>
      </c>
      <c r="J533" s="701">
        <v>18</v>
      </c>
      <c r="K533" s="701">
        <v>11016</v>
      </c>
      <c r="L533" s="701">
        <v>1</v>
      </c>
      <c r="M533" s="701">
        <v>612</v>
      </c>
      <c r="N533" s="701">
        <v>5</v>
      </c>
      <c r="O533" s="701">
        <v>3060</v>
      </c>
      <c r="P533" s="723">
        <v>0.27777777777777779</v>
      </c>
      <c r="Q533" s="702">
        <v>612</v>
      </c>
    </row>
    <row r="534" spans="1:17" ht="14.4" customHeight="1" x14ac:dyDescent="0.3">
      <c r="A534" s="696" t="s">
        <v>4982</v>
      </c>
      <c r="B534" s="697" t="s">
        <v>4983</v>
      </c>
      <c r="C534" s="697" t="s">
        <v>2708</v>
      </c>
      <c r="D534" s="697" t="s">
        <v>5031</v>
      </c>
      <c r="E534" s="697" t="s">
        <v>5033</v>
      </c>
      <c r="F534" s="701">
        <v>2</v>
      </c>
      <c r="G534" s="701">
        <v>1228</v>
      </c>
      <c r="H534" s="701">
        <v>0.15434891905480141</v>
      </c>
      <c r="I534" s="701">
        <v>614</v>
      </c>
      <c r="J534" s="701">
        <v>13</v>
      </c>
      <c r="K534" s="701">
        <v>7956</v>
      </c>
      <c r="L534" s="701">
        <v>1</v>
      </c>
      <c r="M534" s="701">
        <v>612</v>
      </c>
      <c r="N534" s="701">
        <v>4</v>
      </c>
      <c r="O534" s="701">
        <v>2448</v>
      </c>
      <c r="P534" s="723">
        <v>0.30769230769230771</v>
      </c>
      <c r="Q534" s="702">
        <v>612</v>
      </c>
    </row>
    <row r="535" spans="1:17" ht="14.4" customHeight="1" x14ac:dyDescent="0.3">
      <c r="A535" s="696" t="s">
        <v>4982</v>
      </c>
      <c r="B535" s="697" t="s">
        <v>4983</v>
      </c>
      <c r="C535" s="697" t="s">
        <v>2708</v>
      </c>
      <c r="D535" s="697" t="s">
        <v>5034</v>
      </c>
      <c r="E535" s="697" t="s">
        <v>5035</v>
      </c>
      <c r="F535" s="701">
        <v>2</v>
      </c>
      <c r="G535" s="701">
        <v>3520</v>
      </c>
      <c r="H535" s="701"/>
      <c r="I535" s="701">
        <v>1760</v>
      </c>
      <c r="J535" s="701"/>
      <c r="K535" s="701"/>
      <c r="L535" s="701"/>
      <c r="M535" s="701"/>
      <c r="N535" s="701"/>
      <c r="O535" s="701"/>
      <c r="P535" s="723"/>
      <c r="Q535" s="702"/>
    </row>
    <row r="536" spans="1:17" ht="14.4" customHeight="1" x14ac:dyDescent="0.3">
      <c r="A536" s="696" t="s">
        <v>4982</v>
      </c>
      <c r="B536" s="697" t="s">
        <v>4983</v>
      </c>
      <c r="C536" s="697" t="s">
        <v>2708</v>
      </c>
      <c r="D536" s="697" t="s">
        <v>5036</v>
      </c>
      <c r="E536" s="697" t="s">
        <v>5037</v>
      </c>
      <c r="F536" s="701">
        <v>5</v>
      </c>
      <c r="G536" s="701">
        <v>1645</v>
      </c>
      <c r="H536" s="701">
        <v>4.363395225464191</v>
      </c>
      <c r="I536" s="701">
        <v>329</v>
      </c>
      <c r="J536" s="701">
        <v>1</v>
      </c>
      <c r="K536" s="701">
        <v>377</v>
      </c>
      <c r="L536" s="701">
        <v>1</v>
      </c>
      <c r="M536" s="701">
        <v>377</v>
      </c>
      <c r="N536" s="701"/>
      <c r="O536" s="701"/>
      <c r="P536" s="723"/>
      <c r="Q536" s="702"/>
    </row>
    <row r="537" spans="1:17" ht="14.4" customHeight="1" x14ac:dyDescent="0.3">
      <c r="A537" s="696" t="s">
        <v>4982</v>
      </c>
      <c r="B537" s="697" t="s">
        <v>4983</v>
      </c>
      <c r="C537" s="697" t="s">
        <v>2708</v>
      </c>
      <c r="D537" s="697" t="s">
        <v>5038</v>
      </c>
      <c r="E537" s="697" t="s">
        <v>5039</v>
      </c>
      <c r="F537" s="701"/>
      <c r="G537" s="701"/>
      <c r="H537" s="701"/>
      <c r="I537" s="701"/>
      <c r="J537" s="701">
        <v>1</v>
      </c>
      <c r="K537" s="701">
        <v>242</v>
      </c>
      <c r="L537" s="701">
        <v>1</v>
      </c>
      <c r="M537" s="701">
        <v>242</v>
      </c>
      <c r="N537" s="701"/>
      <c r="O537" s="701"/>
      <c r="P537" s="723"/>
      <c r="Q537" s="702"/>
    </row>
    <row r="538" spans="1:17" ht="14.4" customHeight="1" x14ac:dyDescent="0.3">
      <c r="A538" s="696" t="s">
        <v>4982</v>
      </c>
      <c r="B538" s="697" t="s">
        <v>4983</v>
      </c>
      <c r="C538" s="697" t="s">
        <v>2708</v>
      </c>
      <c r="D538" s="697" t="s">
        <v>5040</v>
      </c>
      <c r="E538" s="697" t="s">
        <v>5041</v>
      </c>
      <c r="F538" s="701"/>
      <c r="G538" s="701"/>
      <c r="H538" s="701"/>
      <c r="I538" s="701"/>
      <c r="J538" s="701">
        <v>2</v>
      </c>
      <c r="K538" s="701">
        <v>2986</v>
      </c>
      <c r="L538" s="701">
        <v>1</v>
      </c>
      <c r="M538" s="701">
        <v>1493</v>
      </c>
      <c r="N538" s="701">
        <v>9</v>
      </c>
      <c r="O538" s="701">
        <v>13437</v>
      </c>
      <c r="P538" s="723">
        <v>4.5</v>
      </c>
      <c r="Q538" s="702">
        <v>1493</v>
      </c>
    </row>
    <row r="539" spans="1:17" ht="14.4" customHeight="1" x14ac:dyDescent="0.3">
      <c r="A539" s="696" t="s">
        <v>4982</v>
      </c>
      <c r="B539" s="697" t="s">
        <v>4983</v>
      </c>
      <c r="C539" s="697" t="s">
        <v>2708</v>
      </c>
      <c r="D539" s="697" t="s">
        <v>5042</v>
      </c>
      <c r="E539" s="697" t="s">
        <v>5043</v>
      </c>
      <c r="F539" s="701"/>
      <c r="G539" s="701"/>
      <c r="H539" s="701"/>
      <c r="I539" s="701"/>
      <c r="J539" s="701">
        <v>2</v>
      </c>
      <c r="K539" s="701">
        <v>654</v>
      </c>
      <c r="L539" s="701">
        <v>1</v>
      </c>
      <c r="M539" s="701">
        <v>327</v>
      </c>
      <c r="N539" s="701"/>
      <c r="O539" s="701"/>
      <c r="P539" s="723"/>
      <c r="Q539" s="702"/>
    </row>
    <row r="540" spans="1:17" ht="14.4" customHeight="1" x14ac:dyDescent="0.3">
      <c r="A540" s="696" t="s">
        <v>4982</v>
      </c>
      <c r="B540" s="697" t="s">
        <v>4983</v>
      </c>
      <c r="C540" s="697" t="s">
        <v>2708</v>
      </c>
      <c r="D540" s="697" t="s">
        <v>5042</v>
      </c>
      <c r="E540" s="697" t="s">
        <v>5044</v>
      </c>
      <c r="F540" s="701"/>
      <c r="G540" s="701"/>
      <c r="H540" s="701"/>
      <c r="I540" s="701"/>
      <c r="J540" s="701"/>
      <c r="K540" s="701"/>
      <c r="L540" s="701"/>
      <c r="M540" s="701"/>
      <c r="N540" s="701">
        <v>5</v>
      </c>
      <c r="O540" s="701">
        <v>1635</v>
      </c>
      <c r="P540" s="723"/>
      <c r="Q540" s="702">
        <v>327</v>
      </c>
    </row>
    <row r="541" spans="1:17" ht="14.4" customHeight="1" x14ac:dyDescent="0.3">
      <c r="A541" s="696" t="s">
        <v>4982</v>
      </c>
      <c r="B541" s="697" t="s">
        <v>4983</v>
      </c>
      <c r="C541" s="697" t="s">
        <v>2708</v>
      </c>
      <c r="D541" s="697" t="s">
        <v>5045</v>
      </c>
      <c r="E541" s="697" t="s">
        <v>5046</v>
      </c>
      <c r="F541" s="701"/>
      <c r="G541" s="701"/>
      <c r="H541" s="701"/>
      <c r="I541" s="701"/>
      <c r="J541" s="701"/>
      <c r="K541" s="701"/>
      <c r="L541" s="701"/>
      <c r="M541" s="701"/>
      <c r="N541" s="701">
        <v>3</v>
      </c>
      <c r="O541" s="701">
        <v>2664</v>
      </c>
      <c r="P541" s="723"/>
      <c r="Q541" s="702">
        <v>888</v>
      </c>
    </row>
    <row r="542" spans="1:17" ht="14.4" customHeight="1" x14ac:dyDescent="0.3">
      <c r="A542" s="696" t="s">
        <v>4982</v>
      </c>
      <c r="B542" s="697" t="s">
        <v>4983</v>
      </c>
      <c r="C542" s="697" t="s">
        <v>2708</v>
      </c>
      <c r="D542" s="697" t="s">
        <v>5047</v>
      </c>
      <c r="E542" s="697" t="s">
        <v>5048</v>
      </c>
      <c r="F542" s="701"/>
      <c r="G542" s="701"/>
      <c r="H542" s="701"/>
      <c r="I542" s="701"/>
      <c r="J542" s="701">
        <v>441</v>
      </c>
      <c r="K542" s="701">
        <v>114660</v>
      </c>
      <c r="L542" s="701">
        <v>1</v>
      </c>
      <c r="M542" s="701">
        <v>260</v>
      </c>
      <c r="N542" s="701"/>
      <c r="O542" s="701"/>
      <c r="P542" s="723"/>
      <c r="Q542" s="702"/>
    </row>
    <row r="543" spans="1:17" ht="14.4" customHeight="1" x14ac:dyDescent="0.3">
      <c r="A543" s="696" t="s">
        <v>4982</v>
      </c>
      <c r="B543" s="697" t="s">
        <v>4983</v>
      </c>
      <c r="C543" s="697" t="s">
        <v>2708</v>
      </c>
      <c r="D543" s="697" t="s">
        <v>5047</v>
      </c>
      <c r="E543" s="697" t="s">
        <v>5049</v>
      </c>
      <c r="F543" s="701"/>
      <c r="G543" s="701"/>
      <c r="H543" s="701"/>
      <c r="I543" s="701"/>
      <c r="J543" s="701"/>
      <c r="K543" s="701"/>
      <c r="L543" s="701"/>
      <c r="M543" s="701"/>
      <c r="N543" s="701">
        <v>1286</v>
      </c>
      <c r="O543" s="701">
        <v>335646</v>
      </c>
      <c r="P543" s="723"/>
      <c r="Q543" s="702">
        <v>261</v>
      </c>
    </row>
    <row r="544" spans="1:17" ht="14.4" customHeight="1" x14ac:dyDescent="0.3">
      <c r="A544" s="696" t="s">
        <v>4982</v>
      </c>
      <c r="B544" s="697" t="s">
        <v>4983</v>
      </c>
      <c r="C544" s="697" t="s">
        <v>2708</v>
      </c>
      <c r="D544" s="697" t="s">
        <v>5050</v>
      </c>
      <c r="E544" s="697" t="s">
        <v>5051</v>
      </c>
      <c r="F544" s="701"/>
      <c r="G544" s="701"/>
      <c r="H544" s="701"/>
      <c r="I544" s="701"/>
      <c r="J544" s="701"/>
      <c r="K544" s="701"/>
      <c r="L544" s="701"/>
      <c r="M544" s="701"/>
      <c r="N544" s="701">
        <v>86</v>
      </c>
      <c r="O544" s="701">
        <v>14190</v>
      </c>
      <c r="P544" s="723"/>
      <c r="Q544" s="702">
        <v>165</v>
      </c>
    </row>
    <row r="545" spans="1:17" ht="14.4" customHeight="1" x14ac:dyDescent="0.3">
      <c r="A545" s="696" t="s">
        <v>4982</v>
      </c>
      <c r="B545" s="697" t="s">
        <v>4983</v>
      </c>
      <c r="C545" s="697" t="s">
        <v>2708</v>
      </c>
      <c r="D545" s="697" t="s">
        <v>5050</v>
      </c>
      <c r="E545" s="697" t="s">
        <v>5052</v>
      </c>
      <c r="F545" s="701"/>
      <c r="G545" s="701"/>
      <c r="H545" s="701"/>
      <c r="I545" s="701"/>
      <c r="J545" s="701">
        <v>15</v>
      </c>
      <c r="K545" s="701">
        <v>2475</v>
      </c>
      <c r="L545" s="701">
        <v>1</v>
      </c>
      <c r="M545" s="701">
        <v>165</v>
      </c>
      <c r="N545" s="701">
        <v>11</v>
      </c>
      <c r="O545" s="701">
        <v>1815</v>
      </c>
      <c r="P545" s="723">
        <v>0.73333333333333328</v>
      </c>
      <c r="Q545" s="702">
        <v>165</v>
      </c>
    </row>
    <row r="546" spans="1:17" ht="14.4" customHeight="1" x14ac:dyDescent="0.3">
      <c r="A546" s="696" t="s">
        <v>4982</v>
      </c>
      <c r="B546" s="697" t="s">
        <v>4983</v>
      </c>
      <c r="C546" s="697" t="s">
        <v>2708</v>
      </c>
      <c r="D546" s="697" t="s">
        <v>5053</v>
      </c>
      <c r="E546" s="697" t="s">
        <v>5054</v>
      </c>
      <c r="F546" s="701"/>
      <c r="G546" s="701"/>
      <c r="H546" s="701"/>
      <c r="I546" s="701"/>
      <c r="J546" s="701"/>
      <c r="K546" s="701"/>
      <c r="L546" s="701"/>
      <c r="M546" s="701"/>
      <c r="N546" s="701">
        <v>1</v>
      </c>
      <c r="O546" s="701">
        <v>152</v>
      </c>
      <c r="P546" s="723"/>
      <c r="Q546" s="702">
        <v>152</v>
      </c>
    </row>
    <row r="547" spans="1:17" ht="14.4" customHeight="1" x14ac:dyDescent="0.3">
      <c r="A547" s="696" t="s">
        <v>5055</v>
      </c>
      <c r="B547" s="697" t="s">
        <v>4555</v>
      </c>
      <c r="C547" s="697" t="s">
        <v>2708</v>
      </c>
      <c r="D547" s="697" t="s">
        <v>5056</v>
      </c>
      <c r="E547" s="697" t="s">
        <v>5057</v>
      </c>
      <c r="F547" s="701">
        <v>2</v>
      </c>
      <c r="G547" s="701">
        <v>1684</v>
      </c>
      <c r="H547" s="701">
        <v>0.99881376037959668</v>
      </c>
      <c r="I547" s="701">
        <v>842</v>
      </c>
      <c r="J547" s="701">
        <v>2</v>
      </c>
      <c r="K547" s="701">
        <v>1686</v>
      </c>
      <c r="L547" s="701">
        <v>1</v>
      </c>
      <c r="M547" s="701">
        <v>843</v>
      </c>
      <c r="N547" s="701"/>
      <c r="O547" s="701"/>
      <c r="P547" s="723"/>
      <c r="Q547" s="702"/>
    </row>
    <row r="548" spans="1:17" ht="14.4" customHeight="1" x14ac:dyDescent="0.3">
      <c r="A548" s="696" t="s">
        <v>5055</v>
      </c>
      <c r="B548" s="697" t="s">
        <v>4555</v>
      </c>
      <c r="C548" s="697" t="s">
        <v>2708</v>
      </c>
      <c r="D548" s="697" t="s">
        <v>5056</v>
      </c>
      <c r="E548" s="697" t="s">
        <v>5058</v>
      </c>
      <c r="F548" s="701">
        <v>1</v>
      </c>
      <c r="G548" s="701">
        <v>842</v>
      </c>
      <c r="H548" s="701">
        <v>0.99881376037959668</v>
      </c>
      <c r="I548" s="701">
        <v>842</v>
      </c>
      <c r="J548" s="701">
        <v>1</v>
      </c>
      <c r="K548" s="701">
        <v>843</v>
      </c>
      <c r="L548" s="701">
        <v>1</v>
      </c>
      <c r="M548" s="701">
        <v>843</v>
      </c>
      <c r="N548" s="701">
        <v>6</v>
      </c>
      <c r="O548" s="701">
        <v>5058</v>
      </c>
      <c r="P548" s="723">
        <v>6</v>
      </c>
      <c r="Q548" s="702">
        <v>843</v>
      </c>
    </row>
    <row r="549" spans="1:17" ht="14.4" customHeight="1" x14ac:dyDescent="0.3">
      <c r="A549" s="696" t="s">
        <v>5055</v>
      </c>
      <c r="B549" s="697" t="s">
        <v>4555</v>
      </c>
      <c r="C549" s="697" t="s">
        <v>2708</v>
      </c>
      <c r="D549" s="697" t="s">
        <v>5059</v>
      </c>
      <c r="E549" s="697" t="s">
        <v>5060</v>
      </c>
      <c r="F549" s="701"/>
      <c r="G549" s="701"/>
      <c r="H549" s="701"/>
      <c r="I549" s="701"/>
      <c r="J549" s="701"/>
      <c r="K549" s="701"/>
      <c r="L549" s="701"/>
      <c r="M549" s="701"/>
      <c r="N549" s="701">
        <v>1</v>
      </c>
      <c r="O549" s="701">
        <v>814</v>
      </c>
      <c r="P549" s="723"/>
      <c r="Q549" s="702">
        <v>814</v>
      </c>
    </row>
    <row r="550" spans="1:17" ht="14.4" customHeight="1" x14ac:dyDescent="0.3">
      <c r="A550" s="696" t="s">
        <v>5055</v>
      </c>
      <c r="B550" s="697" t="s">
        <v>4555</v>
      </c>
      <c r="C550" s="697" t="s">
        <v>2708</v>
      </c>
      <c r="D550" s="697" t="s">
        <v>5061</v>
      </c>
      <c r="E550" s="697" t="s">
        <v>5062</v>
      </c>
      <c r="F550" s="701"/>
      <c r="G550" s="701"/>
      <c r="H550" s="701"/>
      <c r="I550" s="701"/>
      <c r="J550" s="701"/>
      <c r="K550" s="701"/>
      <c r="L550" s="701"/>
      <c r="M550" s="701"/>
      <c r="N550" s="701">
        <v>1</v>
      </c>
      <c r="O550" s="701">
        <v>814</v>
      </c>
      <c r="P550" s="723"/>
      <c r="Q550" s="702">
        <v>814</v>
      </c>
    </row>
    <row r="551" spans="1:17" ht="14.4" customHeight="1" x14ac:dyDescent="0.3">
      <c r="A551" s="696" t="s">
        <v>5055</v>
      </c>
      <c r="B551" s="697" t="s">
        <v>4555</v>
      </c>
      <c r="C551" s="697" t="s">
        <v>2708</v>
      </c>
      <c r="D551" s="697" t="s">
        <v>5063</v>
      </c>
      <c r="E551" s="697" t="s">
        <v>5064</v>
      </c>
      <c r="F551" s="701">
        <v>23</v>
      </c>
      <c r="G551" s="701">
        <v>3864</v>
      </c>
      <c r="H551" s="701">
        <v>2.2999999999999998</v>
      </c>
      <c r="I551" s="701">
        <v>168</v>
      </c>
      <c r="J551" s="701">
        <v>10</v>
      </c>
      <c r="K551" s="701">
        <v>1680</v>
      </c>
      <c r="L551" s="701">
        <v>1</v>
      </c>
      <c r="M551" s="701">
        <v>168</v>
      </c>
      <c r="N551" s="701">
        <v>4</v>
      </c>
      <c r="O551" s="701">
        <v>672</v>
      </c>
      <c r="P551" s="723">
        <v>0.4</v>
      </c>
      <c r="Q551" s="702">
        <v>168</v>
      </c>
    </row>
    <row r="552" spans="1:17" ht="14.4" customHeight="1" x14ac:dyDescent="0.3">
      <c r="A552" s="696" t="s">
        <v>5055</v>
      </c>
      <c r="B552" s="697" t="s">
        <v>4555</v>
      </c>
      <c r="C552" s="697" t="s">
        <v>2708</v>
      </c>
      <c r="D552" s="697" t="s">
        <v>5063</v>
      </c>
      <c r="E552" s="697" t="s">
        <v>5065</v>
      </c>
      <c r="F552" s="701">
        <v>4</v>
      </c>
      <c r="G552" s="701">
        <v>672</v>
      </c>
      <c r="H552" s="701">
        <v>1.3333333333333333</v>
      </c>
      <c r="I552" s="701">
        <v>168</v>
      </c>
      <c r="J552" s="701">
        <v>3</v>
      </c>
      <c r="K552" s="701">
        <v>504</v>
      </c>
      <c r="L552" s="701">
        <v>1</v>
      </c>
      <c r="M552" s="701">
        <v>168</v>
      </c>
      <c r="N552" s="701">
        <v>11</v>
      </c>
      <c r="O552" s="701">
        <v>1847</v>
      </c>
      <c r="P552" s="723">
        <v>3.6646825396825395</v>
      </c>
      <c r="Q552" s="702">
        <v>167.90909090909091</v>
      </c>
    </row>
    <row r="553" spans="1:17" ht="14.4" customHeight="1" x14ac:dyDescent="0.3">
      <c r="A553" s="696" t="s">
        <v>5055</v>
      </c>
      <c r="B553" s="697" t="s">
        <v>4555</v>
      </c>
      <c r="C553" s="697" t="s">
        <v>2708</v>
      </c>
      <c r="D553" s="697" t="s">
        <v>5066</v>
      </c>
      <c r="E553" s="697" t="s">
        <v>5067</v>
      </c>
      <c r="F553" s="701">
        <v>22</v>
      </c>
      <c r="G553" s="701">
        <v>3828</v>
      </c>
      <c r="H553" s="701">
        <v>2.2000000000000002</v>
      </c>
      <c r="I553" s="701">
        <v>174</v>
      </c>
      <c r="J553" s="701">
        <v>10</v>
      </c>
      <c r="K553" s="701">
        <v>1740</v>
      </c>
      <c r="L553" s="701">
        <v>1</v>
      </c>
      <c r="M553" s="701">
        <v>174</v>
      </c>
      <c r="N553" s="701">
        <v>4</v>
      </c>
      <c r="O553" s="701">
        <v>696</v>
      </c>
      <c r="P553" s="723">
        <v>0.4</v>
      </c>
      <c r="Q553" s="702">
        <v>174</v>
      </c>
    </row>
    <row r="554" spans="1:17" ht="14.4" customHeight="1" x14ac:dyDescent="0.3">
      <c r="A554" s="696" t="s">
        <v>5055</v>
      </c>
      <c r="B554" s="697" t="s">
        <v>4555</v>
      </c>
      <c r="C554" s="697" t="s">
        <v>2708</v>
      </c>
      <c r="D554" s="697" t="s">
        <v>5066</v>
      </c>
      <c r="E554" s="697" t="s">
        <v>5068</v>
      </c>
      <c r="F554" s="701">
        <v>5</v>
      </c>
      <c r="G554" s="701">
        <v>870</v>
      </c>
      <c r="H554" s="701">
        <v>2.5</v>
      </c>
      <c r="I554" s="701">
        <v>174</v>
      </c>
      <c r="J554" s="701">
        <v>2</v>
      </c>
      <c r="K554" s="701">
        <v>348</v>
      </c>
      <c r="L554" s="701">
        <v>1</v>
      </c>
      <c r="M554" s="701">
        <v>174</v>
      </c>
      <c r="N554" s="701">
        <v>11</v>
      </c>
      <c r="O554" s="701">
        <v>1914</v>
      </c>
      <c r="P554" s="723">
        <v>5.5</v>
      </c>
      <c r="Q554" s="702">
        <v>174</v>
      </c>
    </row>
    <row r="555" spans="1:17" ht="14.4" customHeight="1" x14ac:dyDescent="0.3">
      <c r="A555" s="696" t="s">
        <v>5055</v>
      </c>
      <c r="B555" s="697" t="s">
        <v>4555</v>
      </c>
      <c r="C555" s="697" t="s">
        <v>2708</v>
      </c>
      <c r="D555" s="697" t="s">
        <v>4320</v>
      </c>
      <c r="E555" s="697" t="s">
        <v>4321</v>
      </c>
      <c r="F555" s="701">
        <v>1</v>
      </c>
      <c r="G555" s="701">
        <v>352</v>
      </c>
      <c r="H555" s="701"/>
      <c r="I555" s="701">
        <v>352</v>
      </c>
      <c r="J555" s="701"/>
      <c r="K555" s="701"/>
      <c r="L555" s="701"/>
      <c r="M555" s="701"/>
      <c r="N555" s="701"/>
      <c r="O555" s="701"/>
      <c r="P555" s="723"/>
      <c r="Q555" s="702"/>
    </row>
    <row r="556" spans="1:17" ht="14.4" customHeight="1" x14ac:dyDescent="0.3">
      <c r="A556" s="696" t="s">
        <v>5055</v>
      </c>
      <c r="B556" s="697" t="s">
        <v>4555</v>
      </c>
      <c r="C556" s="697" t="s">
        <v>2708</v>
      </c>
      <c r="D556" s="697" t="s">
        <v>5069</v>
      </c>
      <c r="E556" s="697" t="s">
        <v>5070</v>
      </c>
      <c r="F556" s="701">
        <v>1</v>
      </c>
      <c r="G556" s="701">
        <v>549</v>
      </c>
      <c r="H556" s="701"/>
      <c r="I556" s="701">
        <v>549</v>
      </c>
      <c r="J556" s="701"/>
      <c r="K556" s="701"/>
      <c r="L556" s="701"/>
      <c r="M556" s="701"/>
      <c r="N556" s="701"/>
      <c r="O556" s="701"/>
      <c r="P556" s="723"/>
      <c r="Q556" s="702"/>
    </row>
    <row r="557" spans="1:17" ht="14.4" customHeight="1" x14ac:dyDescent="0.3">
      <c r="A557" s="696" t="s">
        <v>5055</v>
      </c>
      <c r="B557" s="697" t="s">
        <v>4555</v>
      </c>
      <c r="C557" s="697" t="s">
        <v>2708</v>
      </c>
      <c r="D557" s="697" t="s">
        <v>5071</v>
      </c>
      <c r="E557" s="697" t="s">
        <v>5072</v>
      </c>
      <c r="F557" s="701">
        <v>1</v>
      </c>
      <c r="G557" s="701">
        <v>513</v>
      </c>
      <c r="H557" s="701"/>
      <c r="I557" s="701">
        <v>513</v>
      </c>
      <c r="J557" s="701"/>
      <c r="K557" s="701"/>
      <c r="L557" s="701"/>
      <c r="M557" s="701"/>
      <c r="N557" s="701"/>
      <c r="O557" s="701"/>
      <c r="P557" s="723"/>
      <c r="Q557" s="702"/>
    </row>
    <row r="558" spans="1:17" ht="14.4" customHeight="1" x14ac:dyDescent="0.3">
      <c r="A558" s="696" t="s">
        <v>5055</v>
      </c>
      <c r="B558" s="697" t="s">
        <v>4555</v>
      </c>
      <c r="C558" s="697" t="s">
        <v>2708</v>
      </c>
      <c r="D558" s="697" t="s">
        <v>5071</v>
      </c>
      <c r="E558" s="697" t="s">
        <v>5073</v>
      </c>
      <c r="F558" s="701">
        <v>1</v>
      </c>
      <c r="G558" s="701">
        <v>513</v>
      </c>
      <c r="H558" s="701"/>
      <c r="I558" s="701">
        <v>513</v>
      </c>
      <c r="J558" s="701"/>
      <c r="K558" s="701"/>
      <c r="L558" s="701"/>
      <c r="M558" s="701"/>
      <c r="N558" s="701"/>
      <c r="O558" s="701"/>
      <c r="P558" s="723"/>
      <c r="Q558" s="702"/>
    </row>
    <row r="559" spans="1:17" ht="14.4" customHeight="1" x14ac:dyDescent="0.3">
      <c r="A559" s="696" t="s">
        <v>5055</v>
      </c>
      <c r="B559" s="697" t="s">
        <v>4555</v>
      </c>
      <c r="C559" s="697" t="s">
        <v>2708</v>
      </c>
      <c r="D559" s="697" t="s">
        <v>5074</v>
      </c>
      <c r="E559" s="697" t="s">
        <v>5075</v>
      </c>
      <c r="F559" s="701">
        <v>1</v>
      </c>
      <c r="G559" s="701">
        <v>423</v>
      </c>
      <c r="H559" s="701"/>
      <c r="I559" s="701">
        <v>423</v>
      </c>
      <c r="J559" s="701"/>
      <c r="K559" s="701"/>
      <c r="L559" s="701"/>
      <c r="M559" s="701"/>
      <c r="N559" s="701"/>
      <c r="O559" s="701"/>
      <c r="P559" s="723"/>
      <c r="Q559" s="702"/>
    </row>
    <row r="560" spans="1:17" ht="14.4" customHeight="1" x14ac:dyDescent="0.3">
      <c r="A560" s="696" t="s">
        <v>5055</v>
      </c>
      <c r="B560" s="697" t="s">
        <v>4555</v>
      </c>
      <c r="C560" s="697" t="s">
        <v>2708</v>
      </c>
      <c r="D560" s="697" t="s">
        <v>5074</v>
      </c>
      <c r="E560" s="697" t="s">
        <v>5076</v>
      </c>
      <c r="F560" s="701">
        <v>1</v>
      </c>
      <c r="G560" s="701">
        <v>423</v>
      </c>
      <c r="H560" s="701"/>
      <c r="I560" s="701">
        <v>423</v>
      </c>
      <c r="J560" s="701"/>
      <c r="K560" s="701"/>
      <c r="L560" s="701"/>
      <c r="M560" s="701"/>
      <c r="N560" s="701"/>
      <c r="O560" s="701"/>
      <c r="P560" s="723"/>
      <c r="Q560" s="702"/>
    </row>
    <row r="561" spans="1:17" ht="14.4" customHeight="1" x14ac:dyDescent="0.3">
      <c r="A561" s="696" t="s">
        <v>5055</v>
      </c>
      <c r="B561" s="697" t="s">
        <v>4555</v>
      </c>
      <c r="C561" s="697" t="s">
        <v>2708</v>
      </c>
      <c r="D561" s="697" t="s">
        <v>5077</v>
      </c>
      <c r="E561" s="697" t="s">
        <v>5078</v>
      </c>
      <c r="F561" s="701">
        <v>1</v>
      </c>
      <c r="G561" s="701">
        <v>349</v>
      </c>
      <c r="H561" s="701"/>
      <c r="I561" s="701">
        <v>349</v>
      </c>
      <c r="J561" s="701"/>
      <c r="K561" s="701"/>
      <c r="L561" s="701"/>
      <c r="M561" s="701"/>
      <c r="N561" s="701"/>
      <c r="O561" s="701"/>
      <c r="P561" s="723"/>
      <c r="Q561" s="702"/>
    </row>
    <row r="562" spans="1:17" ht="14.4" customHeight="1" x14ac:dyDescent="0.3">
      <c r="A562" s="696" t="s">
        <v>5055</v>
      </c>
      <c r="B562" s="697" t="s">
        <v>4555</v>
      </c>
      <c r="C562" s="697" t="s">
        <v>2708</v>
      </c>
      <c r="D562" s="697" t="s">
        <v>4174</v>
      </c>
      <c r="E562" s="697" t="s">
        <v>4175</v>
      </c>
      <c r="F562" s="701">
        <v>2</v>
      </c>
      <c r="G562" s="701">
        <v>1016</v>
      </c>
      <c r="H562" s="701">
        <v>1</v>
      </c>
      <c r="I562" s="701">
        <v>508</v>
      </c>
      <c r="J562" s="701">
        <v>2</v>
      </c>
      <c r="K562" s="701">
        <v>1016</v>
      </c>
      <c r="L562" s="701">
        <v>1</v>
      </c>
      <c r="M562" s="701">
        <v>508</v>
      </c>
      <c r="N562" s="701">
        <v>1</v>
      </c>
      <c r="O562" s="701">
        <v>509</v>
      </c>
      <c r="P562" s="723">
        <v>0.50098425196850394</v>
      </c>
      <c r="Q562" s="702">
        <v>509</v>
      </c>
    </row>
    <row r="563" spans="1:17" ht="14.4" customHeight="1" x14ac:dyDescent="0.3">
      <c r="A563" s="696" t="s">
        <v>5055</v>
      </c>
      <c r="B563" s="697" t="s">
        <v>4555</v>
      </c>
      <c r="C563" s="697" t="s">
        <v>2708</v>
      </c>
      <c r="D563" s="697" t="s">
        <v>5079</v>
      </c>
      <c r="E563" s="697" t="s">
        <v>5080</v>
      </c>
      <c r="F563" s="701">
        <v>1</v>
      </c>
      <c r="G563" s="701">
        <v>111</v>
      </c>
      <c r="H563" s="701"/>
      <c r="I563" s="701">
        <v>111</v>
      </c>
      <c r="J563" s="701"/>
      <c r="K563" s="701"/>
      <c r="L563" s="701"/>
      <c r="M563" s="701"/>
      <c r="N563" s="701"/>
      <c r="O563" s="701"/>
      <c r="P563" s="723"/>
      <c r="Q563" s="702"/>
    </row>
    <row r="564" spans="1:17" ht="14.4" customHeight="1" x14ac:dyDescent="0.3">
      <c r="A564" s="696" t="s">
        <v>5055</v>
      </c>
      <c r="B564" s="697" t="s">
        <v>4555</v>
      </c>
      <c r="C564" s="697" t="s">
        <v>2708</v>
      </c>
      <c r="D564" s="697" t="s">
        <v>4199</v>
      </c>
      <c r="E564" s="697" t="s">
        <v>4200</v>
      </c>
      <c r="F564" s="701">
        <v>79</v>
      </c>
      <c r="G564" s="701">
        <v>27650</v>
      </c>
      <c r="H564" s="701">
        <v>1.1791044776119404</v>
      </c>
      <c r="I564" s="701">
        <v>350</v>
      </c>
      <c r="J564" s="701">
        <v>67</v>
      </c>
      <c r="K564" s="701">
        <v>23450</v>
      </c>
      <c r="L564" s="701">
        <v>1</v>
      </c>
      <c r="M564" s="701">
        <v>350</v>
      </c>
      <c r="N564" s="701">
        <v>66</v>
      </c>
      <c r="O564" s="701">
        <v>23100</v>
      </c>
      <c r="P564" s="723">
        <v>0.9850746268656716</v>
      </c>
      <c r="Q564" s="702">
        <v>350</v>
      </c>
    </row>
    <row r="565" spans="1:17" ht="14.4" customHeight="1" x14ac:dyDescent="0.3">
      <c r="A565" s="696" t="s">
        <v>5055</v>
      </c>
      <c r="B565" s="697" t="s">
        <v>4555</v>
      </c>
      <c r="C565" s="697" t="s">
        <v>2708</v>
      </c>
      <c r="D565" s="697" t="s">
        <v>5081</v>
      </c>
      <c r="E565" s="697" t="s">
        <v>5082</v>
      </c>
      <c r="F565" s="701">
        <v>1</v>
      </c>
      <c r="G565" s="701">
        <v>209</v>
      </c>
      <c r="H565" s="701"/>
      <c r="I565" s="701">
        <v>209</v>
      </c>
      <c r="J565" s="701"/>
      <c r="K565" s="701"/>
      <c r="L565" s="701"/>
      <c r="M565" s="701"/>
      <c r="N565" s="701"/>
      <c r="O565" s="701"/>
      <c r="P565" s="723"/>
      <c r="Q565" s="702"/>
    </row>
    <row r="566" spans="1:17" ht="14.4" customHeight="1" x14ac:dyDescent="0.3">
      <c r="A566" s="696" t="s">
        <v>5055</v>
      </c>
      <c r="B566" s="697" t="s">
        <v>4555</v>
      </c>
      <c r="C566" s="697" t="s">
        <v>2708</v>
      </c>
      <c r="D566" s="697" t="s">
        <v>5083</v>
      </c>
      <c r="E566" s="697" t="s">
        <v>5084</v>
      </c>
      <c r="F566" s="701">
        <v>22</v>
      </c>
      <c r="G566" s="701">
        <v>880</v>
      </c>
      <c r="H566" s="701">
        <v>2.2000000000000002</v>
      </c>
      <c r="I566" s="701">
        <v>40</v>
      </c>
      <c r="J566" s="701">
        <v>10</v>
      </c>
      <c r="K566" s="701">
        <v>400</v>
      </c>
      <c r="L566" s="701">
        <v>1</v>
      </c>
      <c r="M566" s="701">
        <v>40</v>
      </c>
      <c r="N566" s="701">
        <v>3</v>
      </c>
      <c r="O566" s="701">
        <v>120</v>
      </c>
      <c r="P566" s="723">
        <v>0.3</v>
      </c>
      <c r="Q566" s="702">
        <v>40</v>
      </c>
    </row>
    <row r="567" spans="1:17" ht="14.4" customHeight="1" x14ac:dyDescent="0.3">
      <c r="A567" s="696" t="s">
        <v>5055</v>
      </c>
      <c r="B567" s="697" t="s">
        <v>4555</v>
      </c>
      <c r="C567" s="697" t="s">
        <v>2708</v>
      </c>
      <c r="D567" s="697" t="s">
        <v>5083</v>
      </c>
      <c r="E567" s="697" t="s">
        <v>5085</v>
      </c>
      <c r="F567" s="701">
        <v>5</v>
      </c>
      <c r="G567" s="701">
        <v>200</v>
      </c>
      <c r="H567" s="701">
        <v>2.5</v>
      </c>
      <c r="I567" s="701">
        <v>40</v>
      </c>
      <c r="J567" s="701">
        <v>2</v>
      </c>
      <c r="K567" s="701">
        <v>80</v>
      </c>
      <c r="L567" s="701">
        <v>1</v>
      </c>
      <c r="M567" s="701">
        <v>40</v>
      </c>
      <c r="N567" s="701">
        <v>11</v>
      </c>
      <c r="O567" s="701">
        <v>439</v>
      </c>
      <c r="P567" s="723">
        <v>5.4874999999999998</v>
      </c>
      <c r="Q567" s="702">
        <v>39.909090909090907</v>
      </c>
    </row>
    <row r="568" spans="1:17" ht="14.4" customHeight="1" x14ac:dyDescent="0.3">
      <c r="A568" s="696" t="s">
        <v>5055</v>
      </c>
      <c r="B568" s="697" t="s">
        <v>4555</v>
      </c>
      <c r="C568" s="697" t="s">
        <v>2708</v>
      </c>
      <c r="D568" s="697" t="s">
        <v>4424</v>
      </c>
      <c r="E568" s="697" t="s">
        <v>4425</v>
      </c>
      <c r="F568" s="701">
        <v>23</v>
      </c>
      <c r="G568" s="701">
        <v>3933</v>
      </c>
      <c r="H568" s="701">
        <v>2.2999999999999998</v>
      </c>
      <c r="I568" s="701">
        <v>171</v>
      </c>
      <c r="J568" s="701">
        <v>10</v>
      </c>
      <c r="K568" s="701">
        <v>1710</v>
      </c>
      <c r="L568" s="701">
        <v>1</v>
      </c>
      <c r="M568" s="701">
        <v>171</v>
      </c>
      <c r="N568" s="701">
        <v>4</v>
      </c>
      <c r="O568" s="701">
        <v>684</v>
      </c>
      <c r="P568" s="723">
        <v>0.4</v>
      </c>
      <c r="Q568" s="702">
        <v>171</v>
      </c>
    </row>
    <row r="569" spans="1:17" ht="14.4" customHeight="1" x14ac:dyDescent="0.3">
      <c r="A569" s="696" t="s">
        <v>5055</v>
      </c>
      <c r="B569" s="697" t="s">
        <v>4555</v>
      </c>
      <c r="C569" s="697" t="s">
        <v>2708</v>
      </c>
      <c r="D569" s="697" t="s">
        <v>4424</v>
      </c>
      <c r="E569" s="697" t="s">
        <v>4426</v>
      </c>
      <c r="F569" s="701">
        <v>4</v>
      </c>
      <c r="G569" s="701">
        <v>684</v>
      </c>
      <c r="H569" s="701">
        <v>1.3333333333333333</v>
      </c>
      <c r="I569" s="701">
        <v>171</v>
      </c>
      <c r="J569" s="701">
        <v>3</v>
      </c>
      <c r="K569" s="701">
        <v>513</v>
      </c>
      <c r="L569" s="701">
        <v>1</v>
      </c>
      <c r="M569" s="701">
        <v>171</v>
      </c>
      <c r="N569" s="701">
        <v>12</v>
      </c>
      <c r="O569" s="701">
        <v>2050</v>
      </c>
      <c r="P569" s="723">
        <v>3.996101364522417</v>
      </c>
      <c r="Q569" s="702">
        <v>170.83333333333334</v>
      </c>
    </row>
    <row r="570" spans="1:17" ht="14.4" customHeight="1" x14ac:dyDescent="0.3">
      <c r="A570" s="696" t="s">
        <v>5055</v>
      </c>
      <c r="B570" s="697" t="s">
        <v>4555</v>
      </c>
      <c r="C570" s="697" t="s">
        <v>2708</v>
      </c>
      <c r="D570" s="697" t="s">
        <v>5086</v>
      </c>
      <c r="E570" s="697" t="s">
        <v>5087</v>
      </c>
      <c r="F570" s="701">
        <v>1</v>
      </c>
      <c r="G570" s="701">
        <v>350</v>
      </c>
      <c r="H570" s="701">
        <v>1</v>
      </c>
      <c r="I570" s="701">
        <v>350</v>
      </c>
      <c r="J570" s="701">
        <v>1</v>
      </c>
      <c r="K570" s="701">
        <v>350</v>
      </c>
      <c r="L570" s="701">
        <v>1</v>
      </c>
      <c r="M570" s="701">
        <v>350</v>
      </c>
      <c r="N570" s="701"/>
      <c r="O570" s="701"/>
      <c r="P570" s="723"/>
      <c r="Q570" s="702"/>
    </row>
    <row r="571" spans="1:17" ht="14.4" customHeight="1" x14ac:dyDescent="0.3">
      <c r="A571" s="696" t="s">
        <v>5055</v>
      </c>
      <c r="B571" s="697" t="s">
        <v>4555</v>
      </c>
      <c r="C571" s="697" t="s">
        <v>2708</v>
      </c>
      <c r="D571" s="697" t="s">
        <v>5086</v>
      </c>
      <c r="E571" s="697" t="s">
        <v>5088</v>
      </c>
      <c r="F571" s="701">
        <v>2</v>
      </c>
      <c r="G571" s="701">
        <v>700</v>
      </c>
      <c r="H571" s="701"/>
      <c r="I571" s="701">
        <v>350</v>
      </c>
      <c r="J571" s="701"/>
      <c r="K571" s="701"/>
      <c r="L571" s="701"/>
      <c r="M571" s="701"/>
      <c r="N571" s="701">
        <v>1</v>
      </c>
      <c r="O571" s="701">
        <v>350</v>
      </c>
      <c r="P571" s="723"/>
      <c r="Q571" s="702">
        <v>350</v>
      </c>
    </row>
    <row r="572" spans="1:17" ht="14.4" customHeight="1" x14ac:dyDescent="0.3">
      <c r="A572" s="696" t="s">
        <v>5055</v>
      </c>
      <c r="B572" s="697" t="s">
        <v>4555</v>
      </c>
      <c r="C572" s="697" t="s">
        <v>2708</v>
      </c>
      <c r="D572" s="697" t="s">
        <v>4453</v>
      </c>
      <c r="E572" s="697" t="s">
        <v>4454</v>
      </c>
      <c r="F572" s="701">
        <v>23</v>
      </c>
      <c r="G572" s="701">
        <v>4002</v>
      </c>
      <c r="H572" s="701">
        <v>2.2999999999999998</v>
      </c>
      <c r="I572" s="701">
        <v>174</v>
      </c>
      <c r="J572" s="701">
        <v>10</v>
      </c>
      <c r="K572" s="701">
        <v>1740</v>
      </c>
      <c r="L572" s="701">
        <v>1</v>
      </c>
      <c r="M572" s="701">
        <v>174</v>
      </c>
      <c r="N572" s="701">
        <v>4</v>
      </c>
      <c r="O572" s="701">
        <v>696</v>
      </c>
      <c r="P572" s="723">
        <v>0.4</v>
      </c>
      <c r="Q572" s="702">
        <v>174</v>
      </c>
    </row>
    <row r="573" spans="1:17" ht="14.4" customHeight="1" x14ac:dyDescent="0.3">
      <c r="A573" s="696" t="s">
        <v>5055</v>
      </c>
      <c r="B573" s="697" t="s">
        <v>4555</v>
      </c>
      <c r="C573" s="697" t="s">
        <v>2708</v>
      </c>
      <c r="D573" s="697" t="s">
        <v>4453</v>
      </c>
      <c r="E573" s="697" t="s">
        <v>4455</v>
      </c>
      <c r="F573" s="701">
        <v>4</v>
      </c>
      <c r="G573" s="701">
        <v>696</v>
      </c>
      <c r="H573" s="701">
        <v>2</v>
      </c>
      <c r="I573" s="701">
        <v>174</v>
      </c>
      <c r="J573" s="701">
        <v>2</v>
      </c>
      <c r="K573" s="701">
        <v>348</v>
      </c>
      <c r="L573" s="701">
        <v>1</v>
      </c>
      <c r="M573" s="701">
        <v>174</v>
      </c>
      <c r="N573" s="701">
        <v>12</v>
      </c>
      <c r="O573" s="701">
        <v>2086</v>
      </c>
      <c r="P573" s="723">
        <v>5.9942528735632186</v>
      </c>
      <c r="Q573" s="702">
        <v>173.83333333333334</v>
      </c>
    </row>
    <row r="574" spans="1:17" ht="14.4" customHeight="1" x14ac:dyDescent="0.3">
      <c r="A574" s="696" t="s">
        <v>5055</v>
      </c>
      <c r="B574" s="697" t="s">
        <v>4555</v>
      </c>
      <c r="C574" s="697" t="s">
        <v>2708</v>
      </c>
      <c r="D574" s="697" t="s">
        <v>5089</v>
      </c>
      <c r="E574" s="697" t="s">
        <v>5090</v>
      </c>
      <c r="F574" s="701">
        <v>4</v>
      </c>
      <c r="G574" s="701">
        <v>1604</v>
      </c>
      <c r="H574" s="701">
        <v>0.5</v>
      </c>
      <c r="I574" s="701">
        <v>401</v>
      </c>
      <c r="J574" s="701">
        <v>8</v>
      </c>
      <c r="K574" s="701">
        <v>3208</v>
      </c>
      <c r="L574" s="701">
        <v>1</v>
      </c>
      <c r="M574" s="701">
        <v>401</v>
      </c>
      <c r="N574" s="701">
        <v>4</v>
      </c>
      <c r="O574" s="701">
        <v>1604</v>
      </c>
      <c r="P574" s="723">
        <v>0.5</v>
      </c>
      <c r="Q574" s="702">
        <v>401</v>
      </c>
    </row>
    <row r="575" spans="1:17" ht="14.4" customHeight="1" x14ac:dyDescent="0.3">
      <c r="A575" s="696" t="s">
        <v>5055</v>
      </c>
      <c r="B575" s="697" t="s">
        <v>4555</v>
      </c>
      <c r="C575" s="697" t="s">
        <v>2708</v>
      </c>
      <c r="D575" s="697" t="s">
        <v>5091</v>
      </c>
      <c r="E575" s="697" t="s">
        <v>5092</v>
      </c>
      <c r="F575" s="701">
        <v>1</v>
      </c>
      <c r="G575" s="701">
        <v>291</v>
      </c>
      <c r="H575" s="701"/>
      <c r="I575" s="701">
        <v>291</v>
      </c>
      <c r="J575" s="701"/>
      <c r="K575" s="701"/>
      <c r="L575" s="701"/>
      <c r="M575" s="701"/>
      <c r="N575" s="701"/>
      <c r="O575" s="701"/>
      <c r="P575" s="723"/>
      <c r="Q575" s="702"/>
    </row>
    <row r="576" spans="1:17" ht="14.4" customHeight="1" x14ac:dyDescent="0.3">
      <c r="A576" s="696" t="s">
        <v>5055</v>
      </c>
      <c r="B576" s="697" t="s">
        <v>4555</v>
      </c>
      <c r="C576" s="697" t="s">
        <v>2708</v>
      </c>
      <c r="D576" s="697" t="s">
        <v>5091</v>
      </c>
      <c r="E576" s="697" t="s">
        <v>5093</v>
      </c>
      <c r="F576" s="701">
        <v>1</v>
      </c>
      <c r="G576" s="701">
        <v>291</v>
      </c>
      <c r="H576" s="701"/>
      <c r="I576" s="701">
        <v>291</v>
      </c>
      <c r="J576" s="701"/>
      <c r="K576" s="701"/>
      <c r="L576" s="701"/>
      <c r="M576" s="701"/>
      <c r="N576" s="701"/>
      <c r="O576" s="701"/>
      <c r="P576" s="723"/>
      <c r="Q576" s="702"/>
    </row>
    <row r="577" spans="1:17" ht="14.4" customHeight="1" x14ac:dyDescent="0.3">
      <c r="A577" s="696" t="s">
        <v>5055</v>
      </c>
      <c r="B577" s="697" t="s">
        <v>4555</v>
      </c>
      <c r="C577" s="697" t="s">
        <v>2708</v>
      </c>
      <c r="D577" s="697" t="s">
        <v>5094</v>
      </c>
      <c r="E577" s="697" t="s">
        <v>5095</v>
      </c>
      <c r="F577" s="701"/>
      <c r="G577" s="701"/>
      <c r="H577" s="701"/>
      <c r="I577" s="701"/>
      <c r="J577" s="701"/>
      <c r="K577" s="701"/>
      <c r="L577" s="701"/>
      <c r="M577" s="701"/>
      <c r="N577" s="701">
        <v>1</v>
      </c>
      <c r="O577" s="701">
        <v>814</v>
      </c>
      <c r="P577" s="723"/>
      <c r="Q577" s="702">
        <v>814</v>
      </c>
    </row>
    <row r="578" spans="1:17" ht="14.4" customHeight="1" x14ac:dyDescent="0.3">
      <c r="A578" s="696" t="s">
        <v>5055</v>
      </c>
      <c r="B578" s="697" t="s">
        <v>4555</v>
      </c>
      <c r="C578" s="697" t="s">
        <v>2708</v>
      </c>
      <c r="D578" s="697" t="s">
        <v>5096</v>
      </c>
      <c r="E578" s="697" t="s">
        <v>5097</v>
      </c>
      <c r="F578" s="701">
        <v>22</v>
      </c>
      <c r="G578" s="701">
        <v>3696</v>
      </c>
      <c r="H578" s="701">
        <v>2.2000000000000002</v>
      </c>
      <c r="I578" s="701">
        <v>168</v>
      </c>
      <c r="J578" s="701">
        <v>10</v>
      </c>
      <c r="K578" s="701">
        <v>1680</v>
      </c>
      <c r="L578" s="701">
        <v>1</v>
      </c>
      <c r="M578" s="701">
        <v>168</v>
      </c>
      <c r="N578" s="701">
        <v>4</v>
      </c>
      <c r="O578" s="701">
        <v>672</v>
      </c>
      <c r="P578" s="723">
        <v>0.4</v>
      </c>
      <c r="Q578" s="702">
        <v>168</v>
      </c>
    </row>
    <row r="579" spans="1:17" ht="14.4" customHeight="1" x14ac:dyDescent="0.3">
      <c r="A579" s="696" t="s">
        <v>5055</v>
      </c>
      <c r="B579" s="697" t="s">
        <v>4555</v>
      </c>
      <c r="C579" s="697" t="s">
        <v>2708</v>
      </c>
      <c r="D579" s="697" t="s">
        <v>5096</v>
      </c>
      <c r="E579" s="697" t="s">
        <v>5098</v>
      </c>
      <c r="F579" s="701">
        <v>5</v>
      </c>
      <c r="G579" s="701">
        <v>840</v>
      </c>
      <c r="H579" s="701">
        <v>2.5</v>
      </c>
      <c r="I579" s="701">
        <v>168</v>
      </c>
      <c r="J579" s="701">
        <v>2</v>
      </c>
      <c r="K579" s="701">
        <v>336</v>
      </c>
      <c r="L579" s="701">
        <v>1</v>
      </c>
      <c r="M579" s="701">
        <v>168</v>
      </c>
      <c r="N579" s="701">
        <v>11</v>
      </c>
      <c r="O579" s="701">
        <v>1847</v>
      </c>
      <c r="P579" s="723">
        <v>5.4970238095238093</v>
      </c>
      <c r="Q579" s="702">
        <v>167.90909090909091</v>
      </c>
    </row>
    <row r="580" spans="1:17" ht="14.4" customHeight="1" x14ac:dyDescent="0.3">
      <c r="A580" s="696" t="s">
        <v>5055</v>
      </c>
      <c r="B580" s="697" t="s">
        <v>4555</v>
      </c>
      <c r="C580" s="697" t="s">
        <v>2708</v>
      </c>
      <c r="D580" s="697" t="s">
        <v>5099</v>
      </c>
      <c r="E580" s="697" t="s">
        <v>5100</v>
      </c>
      <c r="F580" s="701">
        <v>1</v>
      </c>
      <c r="G580" s="701">
        <v>574</v>
      </c>
      <c r="H580" s="701">
        <v>0.5</v>
      </c>
      <c r="I580" s="701">
        <v>574</v>
      </c>
      <c r="J580" s="701">
        <v>2</v>
      </c>
      <c r="K580" s="701">
        <v>1148</v>
      </c>
      <c r="L580" s="701">
        <v>1</v>
      </c>
      <c r="M580" s="701">
        <v>574</v>
      </c>
      <c r="N580" s="701">
        <v>1</v>
      </c>
      <c r="O580" s="701">
        <v>574</v>
      </c>
      <c r="P580" s="723">
        <v>0.5</v>
      </c>
      <c r="Q580" s="702">
        <v>574</v>
      </c>
    </row>
    <row r="581" spans="1:17" ht="14.4" customHeight="1" x14ac:dyDescent="0.3">
      <c r="A581" s="696" t="s">
        <v>5055</v>
      </c>
      <c r="B581" s="697" t="s">
        <v>4555</v>
      </c>
      <c r="C581" s="697" t="s">
        <v>2708</v>
      </c>
      <c r="D581" s="697" t="s">
        <v>5101</v>
      </c>
      <c r="E581" s="697" t="s">
        <v>5102</v>
      </c>
      <c r="F581" s="701">
        <v>1</v>
      </c>
      <c r="G581" s="701">
        <v>1022</v>
      </c>
      <c r="H581" s="701">
        <v>0.5</v>
      </c>
      <c r="I581" s="701">
        <v>1022</v>
      </c>
      <c r="J581" s="701">
        <v>2</v>
      </c>
      <c r="K581" s="701">
        <v>2044</v>
      </c>
      <c r="L581" s="701">
        <v>1</v>
      </c>
      <c r="M581" s="701">
        <v>1022</v>
      </c>
      <c r="N581" s="701"/>
      <c r="O581" s="701"/>
      <c r="P581" s="723"/>
      <c r="Q581" s="702"/>
    </row>
    <row r="582" spans="1:17" ht="14.4" customHeight="1" x14ac:dyDescent="0.3">
      <c r="A582" s="696" t="s">
        <v>5055</v>
      </c>
      <c r="B582" s="697" t="s">
        <v>4555</v>
      </c>
      <c r="C582" s="697" t="s">
        <v>2708</v>
      </c>
      <c r="D582" s="697" t="s">
        <v>5103</v>
      </c>
      <c r="E582" s="697" t="s">
        <v>5104</v>
      </c>
      <c r="F582" s="701">
        <v>1</v>
      </c>
      <c r="G582" s="701">
        <v>190</v>
      </c>
      <c r="H582" s="701"/>
      <c r="I582" s="701">
        <v>190</v>
      </c>
      <c r="J582" s="701"/>
      <c r="K582" s="701"/>
      <c r="L582" s="701"/>
      <c r="M582" s="701"/>
      <c r="N582" s="701"/>
      <c r="O582" s="701"/>
      <c r="P582" s="723"/>
      <c r="Q582" s="702"/>
    </row>
    <row r="583" spans="1:17" ht="14.4" customHeight="1" x14ac:dyDescent="0.3">
      <c r="A583" s="696" t="s">
        <v>5055</v>
      </c>
      <c r="B583" s="697" t="s">
        <v>4555</v>
      </c>
      <c r="C583" s="697" t="s">
        <v>2708</v>
      </c>
      <c r="D583" s="697" t="s">
        <v>5105</v>
      </c>
      <c r="E583" s="697" t="s">
        <v>5106</v>
      </c>
      <c r="F583" s="701"/>
      <c r="G583" s="701"/>
      <c r="H583" s="701"/>
      <c r="I583" s="701"/>
      <c r="J583" s="701"/>
      <c r="K583" s="701"/>
      <c r="L583" s="701"/>
      <c r="M583" s="701"/>
      <c r="N583" s="701">
        <v>1</v>
      </c>
      <c r="O583" s="701">
        <v>814</v>
      </c>
      <c r="P583" s="723"/>
      <c r="Q583" s="702">
        <v>814</v>
      </c>
    </row>
    <row r="584" spans="1:17" ht="14.4" customHeight="1" x14ac:dyDescent="0.3">
      <c r="A584" s="696" t="s">
        <v>5055</v>
      </c>
      <c r="B584" s="697" t="s">
        <v>4555</v>
      </c>
      <c r="C584" s="697" t="s">
        <v>2708</v>
      </c>
      <c r="D584" s="697" t="s">
        <v>5107</v>
      </c>
      <c r="E584" s="697" t="s">
        <v>5108</v>
      </c>
      <c r="F584" s="701"/>
      <c r="G584" s="701"/>
      <c r="H584" s="701"/>
      <c r="I584" s="701"/>
      <c r="J584" s="701"/>
      <c r="K584" s="701"/>
      <c r="L584" s="701"/>
      <c r="M584" s="701"/>
      <c r="N584" s="701">
        <v>6</v>
      </c>
      <c r="O584" s="701">
        <v>24522</v>
      </c>
      <c r="P584" s="723"/>
      <c r="Q584" s="702">
        <v>4087</v>
      </c>
    </row>
    <row r="585" spans="1:17" ht="14.4" customHeight="1" x14ac:dyDescent="0.3">
      <c r="A585" s="696" t="s">
        <v>5055</v>
      </c>
      <c r="B585" s="697" t="s">
        <v>4555</v>
      </c>
      <c r="C585" s="697" t="s">
        <v>2708</v>
      </c>
      <c r="D585" s="697" t="s">
        <v>5109</v>
      </c>
      <c r="E585" s="697" t="s">
        <v>5110</v>
      </c>
      <c r="F585" s="701"/>
      <c r="G585" s="701"/>
      <c r="H585" s="701"/>
      <c r="I585" s="701"/>
      <c r="J585" s="701"/>
      <c r="K585" s="701"/>
      <c r="L585" s="701"/>
      <c r="M585" s="701"/>
      <c r="N585" s="701">
        <v>1</v>
      </c>
      <c r="O585" s="701">
        <v>253</v>
      </c>
      <c r="P585" s="723"/>
      <c r="Q585" s="702">
        <v>253</v>
      </c>
    </row>
    <row r="586" spans="1:17" ht="14.4" customHeight="1" x14ac:dyDescent="0.3">
      <c r="A586" s="696" t="s">
        <v>5055</v>
      </c>
      <c r="B586" s="697" t="s">
        <v>4555</v>
      </c>
      <c r="C586" s="697" t="s">
        <v>2708</v>
      </c>
      <c r="D586" s="697" t="s">
        <v>5111</v>
      </c>
      <c r="E586" s="697" t="s">
        <v>5112</v>
      </c>
      <c r="F586" s="701"/>
      <c r="G586" s="701"/>
      <c r="H586" s="701"/>
      <c r="I586" s="701"/>
      <c r="J586" s="701"/>
      <c r="K586" s="701"/>
      <c r="L586" s="701"/>
      <c r="M586" s="701"/>
      <c r="N586" s="701">
        <v>1</v>
      </c>
      <c r="O586" s="701">
        <v>424</v>
      </c>
      <c r="P586" s="723"/>
      <c r="Q586" s="702">
        <v>424</v>
      </c>
    </row>
    <row r="587" spans="1:17" ht="14.4" customHeight="1" x14ac:dyDescent="0.3">
      <c r="A587" s="696" t="s">
        <v>505</v>
      </c>
      <c r="B587" s="697" t="s">
        <v>3936</v>
      </c>
      <c r="C587" s="697" t="s">
        <v>2708</v>
      </c>
      <c r="D587" s="697" t="s">
        <v>3937</v>
      </c>
      <c r="E587" s="697" t="s">
        <v>3938</v>
      </c>
      <c r="F587" s="701">
        <v>1</v>
      </c>
      <c r="G587" s="701">
        <v>265</v>
      </c>
      <c r="H587" s="701"/>
      <c r="I587" s="701">
        <v>265</v>
      </c>
      <c r="J587" s="701"/>
      <c r="K587" s="701"/>
      <c r="L587" s="701"/>
      <c r="M587" s="701"/>
      <c r="N587" s="701">
        <v>1</v>
      </c>
      <c r="O587" s="701">
        <v>266</v>
      </c>
      <c r="P587" s="723"/>
      <c r="Q587" s="702">
        <v>266</v>
      </c>
    </row>
    <row r="588" spans="1:17" ht="14.4" customHeight="1" x14ac:dyDescent="0.3">
      <c r="A588" s="696" t="s">
        <v>505</v>
      </c>
      <c r="B588" s="697" t="s">
        <v>3936</v>
      </c>
      <c r="C588" s="697" t="s">
        <v>2708</v>
      </c>
      <c r="D588" s="697" t="s">
        <v>3939</v>
      </c>
      <c r="E588" s="697" t="s">
        <v>3940</v>
      </c>
      <c r="F588" s="701">
        <v>2</v>
      </c>
      <c r="G588" s="701">
        <v>698</v>
      </c>
      <c r="H588" s="701"/>
      <c r="I588" s="701">
        <v>349</v>
      </c>
      <c r="J588" s="701"/>
      <c r="K588" s="701"/>
      <c r="L588" s="701"/>
      <c r="M588" s="701"/>
      <c r="N588" s="701"/>
      <c r="O588" s="701"/>
      <c r="P588" s="723"/>
      <c r="Q588" s="702"/>
    </row>
    <row r="589" spans="1:17" ht="14.4" customHeight="1" x14ac:dyDescent="0.3">
      <c r="A589" s="696" t="s">
        <v>505</v>
      </c>
      <c r="B589" s="697" t="s">
        <v>3936</v>
      </c>
      <c r="C589" s="697" t="s">
        <v>2708</v>
      </c>
      <c r="D589" s="697" t="s">
        <v>3941</v>
      </c>
      <c r="E589" s="697" t="s">
        <v>3942</v>
      </c>
      <c r="F589" s="701">
        <v>2</v>
      </c>
      <c r="G589" s="701">
        <v>566</v>
      </c>
      <c r="H589" s="701"/>
      <c r="I589" s="701">
        <v>283</v>
      </c>
      <c r="J589" s="701"/>
      <c r="K589" s="701"/>
      <c r="L589" s="701"/>
      <c r="M589" s="701"/>
      <c r="N589" s="701"/>
      <c r="O589" s="701"/>
      <c r="P589" s="723"/>
      <c r="Q589" s="702"/>
    </row>
    <row r="590" spans="1:17" ht="14.4" customHeight="1" x14ac:dyDescent="0.3">
      <c r="A590" s="696" t="s">
        <v>505</v>
      </c>
      <c r="B590" s="697" t="s">
        <v>3936</v>
      </c>
      <c r="C590" s="697" t="s">
        <v>2708</v>
      </c>
      <c r="D590" s="697" t="s">
        <v>3943</v>
      </c>
      <c r="E590" s="697" t="s">
        <v>3944</v>
      </c>
      <c r="F590" s="701">
        <v>2</v>
      </c>
      <c r="G590" s="701">
        <v>11194</v>
      </c>
      <c r="H590" s="701"/>
      <c r="I590" s="701">
        <v>5597</v>
      </c>
      <c r="J590" s="701"/>
      <c r="K590" s="701"/>
      <c r="L590" s="701"/>
      <c r="M590" s="701"/>
      <c r="N590" s="701"/>
      <c r="O590" s="701"/>
      <c r="P590" s="723"/>
      <c r="Q590" s="702"/>
    </row>
    <row r="591" spans="1:17" ht="14.4" customHeight="1" x14ac:dyDescent="0.3">
      <c r="A591" s="696" t="s">
        <v>5113</v>
      </c>
      <c r="B591" s="697" t="s">
        <v>4158</v>
      </c>
      <c r="C591" s="697" t="s">
        <v>2708</v>
      </c>
      <c r="D591" s="697" t="s">
        <v>4174</v>
      </c>
      <c r="E591" s="697" t="s">
        <v>4175</v>
      </c>
      <c r="F591" s="701">
        <v>9</v>
      </c>
      <c r="G591" s="701">
        <v>4572</v>
      </c>
      <c r="H591" s="701">
        <v>1.5</v>
      </c>
      <c r="I591" s="701">
        <v>508</v>
      </c>
      <c r="J591" s="701">
        <v>6</v>
      </c>
      <c r="K591" s="701">
        <v>3048</v>
      </c>
      <c r="L591" s="701">
        <v>1</v>
      </c>
      <c r="M591" s="701">
        <v>508</v>
      </c>
      <c r="N591" s="701">
        <v>5</v>
      </c>
      <c r="O591" s="701">
        <v>2545</v>
      </c>
      <c r="P591" s="723">
        <v>0.83497375328083989</v>
      </c>
      <c r="Q591" s="702">
        <v>509</v>
      </c>
    </row>
    <row r="592" spans="1:17" ht="14.4" customHeight="1" x14ac:dyDescent="0.3">
      <c r="A592" s="696" t="s">
        <v>5113</v>
      </c>
      <c r="B592" s="697" t="s">
        <v>4158</v>
      </c>
      <c r="C592" s="697" t="s">
        <v>2708</v>
      </c>
      <c r="D592" s="697" t="s">
        <v>5114</v>
      </c>
      <c r="E592" s="697" t="s">
        <v>5115</v>
      </c>
      <c r="F592" s="701">
        <v>8</v>
      </c>
      <c r="G592" s="701">
        <v>51216</v>
      </c>
      <c r="H592" s="701">
        <v>1.5995003123048095</v>
      </c>
      <c r="I592" s="701">
        <v>6402</v>
      </c>
      <c r="J592" s="701">
        <v>5</v>
      </c>
      <c r="K592" s="701">
        <v>32020</v>
      </c>
      <c r="L592" s="701">
        <v>1</v>
      </c>
      <c r="M592" s="701">
        <v>6404</v>
      </c>
      <c r="N592" s="701">
        <v>3</v>
      </c>
      <c r="O592" s="701">
        <v>21450</v>
      </c>
      <c r="P592" s="723">
        <v>0.66989381636477197</v>
      </c>
      <c r="Q592" s="702">
        <v>7150</v>
      </c>
    </row>
    <row r="593" spans="1:17" ht="14.4" customHeight="1" x14ac:dyDescent="0.3">
      <c r="A593" s="696" t="s">
        <v>5113</v>
      </c>
      <c r="B593" s="697" t="s">
        <v>4158</v>
      </c>
      <c r="C593" s="697" t="s">
        <v>2708</v>
      </c>
      <c r="D593" s="697" t="s">
        <v>4369</v>
      </c>
      <c r="E593" s="697" t="s">
        <v>4370</v>
      </c>
      <c r="F593" s="701">
        <v>1</v>
      </c>
      <c r="G593" s="701">
        <v>1283</v>
      </c>
      <c r="H593" s="701">
        <v>0.24961089494163424</v>
      </c>
      <c r="I593" s="701">
        <v>1283</v>
      </c>
      <c r="J593" s="701">
        <v>4</v>
      </c>
      <c r="K593" s="701">
        <v>5140</v>
      </c>
      <c r="L593" s="701">
        <v>1</v>
      </c>
      <c r="M593" s="701">
        <v>1285</v>
      </c>
      <c r="N593" s="701"/>
      <c r="O593" s="701"/>
      <c r="P593" s="723"/>
      <c r="Q593" s="702"/>
    </row>
    <row r="594" spans="1:17" ht="14.4" customHeight="1" x14ac:dyDescent="0.3">
      <c r="A594" s="696" t="s">
        <v>5113</v>
      </c>
      <c r="B594" s="697" t="s">
        <v>4158</v>
      </c>
      <c r="C594" s="697" t="s">
        <v>2708</v>
      </c>
      <c r="D594" s="697" t="s">
        <v>4161</v>
      </c>
      <c r="E594" s="697" t="s">
        <v>5116</v>
      </c>
      <c r="F594" s="701"/>
      <c r="G594" s="701"/>
      <c r="H594" s="701"/>
      <c r="I594" s="701"/>
      <c r="J594" s="701">
        <v>2</v>
      </c>
      <c r="K594" s="701">
        <v>19524</v>
      </c>
      <c r="L594" s="701">
        <v>1</v>
      </c>
      <c r="M594" s="701">
        <v>9762</v>
      </c>
      <c r="N594" s="701"/>
      <c r="O594" s="701"/>
      <c r="P594" s="723"/>
      <c r="Q594" s="702"/>
    </row>
    <row r="595" spans="1:17" ht="14.4" customHeight="1" x14ac:dyDescent="0.3">
      <c r="A595" s="696" t="s">
        <v>5113</v>
      </c>
      <c r="B595" s="697" t="s">
        <v>4158</v>
      </c>
      <c r="C595" s="697" t="s">
        <v>2708</v>
      </c>
      <c r="D595" s="697" t="s">
        <v>4161</v>
      </c>
      <c r="E595" s="697" t="s">
        <v>4162</v>
      </c>
      <c r="F595" s="701">
        <v>16</v>
      </c>
      <c r="G595" s="701">
        <v>156048</v>
      </c>
      <c r="H595" s="701"/>
      <c r="I595" s="701">
        <v>9753</v>
      </c>
      <c r="J595" s="701"/>
      <c r="K595" s="701"/>
      <c r="L595" s="701"/>
      <c r="M595" s="701"/>
      <c r="N595" s="701"/>
      <c r="O595" s="701"/>
      <c r="P595" s="723"/>
      <c r="Q595" s="702"/>
    </row>
    <row r="596" spans="1:17" ht="14.4" customHeight="1" x14ac:dyDescent="0.3">
      <c r="A596" s="696" t="s">
        <v>5113</v>
      </c>
      <c r="B596" s="697" t="s">
        <v>4158</v>
      </c>
      <c r="C596" s="697" t="s">
        <v>2708</v>
      </c>
      <c r="D596" s="697" t="s">
        <v>4950</v>
      </c>
      <c r="E596" s="697" t="s">
        <v>4951</v>
      </c>
      <c r="F596" s="701">
        <v>5</v>
      </c>
      <c r="G596" s="701">
        <v>890</v>
      </c>
      <c r="H596" s="701">
        <v>1.6666666666666667</v>
      </c>
      <c r="I596" s="701">
        <v>178</v>
      </c>
      <c r="J596" s="701">
        <v>3</v>
      </c>
      <c r="K596" s="701">
        <v>534</v>
      </c>
      <c r="L596" s="701">
        <v>1</v>
      </c>
      <c r="M596" s="701">
        <v>178</v>
      </c>
      <c r="N596" s="701">
        <v>2</v>
      </c>
      <c r="O596" s="701">
        <v>358</v>
      </c>
      <c r="P596" s="723">
        <v>0.67041198501872656</v>
      </c>
      <c r="Q596" s="702">
        <v>179</v>
      </c>
    </row>
    <row r="597" spans="1:17" ht="14.4" customHeight="1" x14ac:dyDescent="0.3">
      <c r="A597" s="696" t="s">
        <v>5113</v>
      </c>
      <c r="B597" s="697" t="s">
        <v>4158</v>
      </c>
      <c r="C597" s="697" t="s">
        <v>2708</v>
      </c>
      <c r="D597" s="697" t="s">
        <v>4950</v>
      </c>
      <c r="E597" s="697" t="s">
        <v>4952</v>
      </c>
      <c r="F597" s="701">
        <v>3</v>
      </c>
      <c r="G597" s="701">
        <v>534</v>
      </c>
      <c r="H597" s="701">
        <v>3</v>
      </c>
      <c r="I597" s="701">
        <v>178</v>
      </c>
      <c r="J597" s="701">
        <v>1</v>
      </c>
      <c r="K597" s="701">
        <v>178</v>
      </c>
      <c r="L597" s="701">
        <v>1</v>
      </c>
      <c r="M597" s="701">
        <v>178</v>
      </c>
      <c r="N597" s="701">
        <v>4</v>
      </c>
      <c r="O597" s="701">
        <v>716</v>
      </c>
      <c r="P597" s="723">
        <v>4.0224719101123592</v>
      </c>
      <c r="Q597" s="702">
        <v>179</v>
      </c>
    </row>
    <row r="598" spans="1:17" ht="14.4" customHeight="1" x14ac:dyDescent="0.3">
      <c r="A598" s="696" t="s">
        <v>5113</v>
      </c>
      <c r="B598" s="697" t="s">
        <v>4158</v>
      </c>
      <c r="C598" s="697" t="s">
        <v>2708</v>
      </c>
      <c r="D598" s="697" t="s">
        <v>5117</v>
      </c>
      <c r="E598" s="697" t="s">
        <v>5118</v>
      </c>
      <c r="F598" s="701"/>
      <c r="G598" s="701"/>
      <c r="H598" s="701"/>
      <c r="I598" s="701"/>
      <c r="J598" s="701">
        <v>20</v>
      </c>
      <c r="K598" s="701">
        <v>45940</v>
      </c>
      <c r="L598" s="701">
        <v>1</v>
      </c>
      <c r="M598" s="701">
        <v>2297</v>
      </c>
      <c r="N598" s="701"/>
      <c r="O598" s="701"/>
      <c r="P598" s="723"/>
      <c r="Q598" s="702"/>
    </row>
    <row r="599" spans="1:17" ht="14.4" customHeight="1" x14ac:dyDescent="0.3">
      <c r="A599" s="696" t="s">
        <v>5113</v>
      </c>
      <c r="B599" s="697" t="s">
        <v>4158</v>
      </c>
      <c r="C599" s="697" t="s">
        <v>2708</v>
      </c>
      <c r="D599" s="697" t="s">
        <v>5119</v>
      </c>
      <c r="E599" s="697" t="s">
        <v>5120</v>
      </c>
      <c r="F599" s="701"/>
      <c r="G599" s="701"/>
      <c r="H599" s="701"/>
      <c r="I599" s="701"/>
      <c r="J599" s="701">
        <v>7</v>
      </c>
      <c r="K599" s="701">
        <v>52892</v>
      </c>
      <c r="L599" s="701">
        <v>1</v>
      </c>
      <c r="M599" s="701">
        <v>7556</v>
      </c>
      <c r="N599" s="701">
        <v>1</v>
      </c>
      <c r="O599" s="701">
        <v>7557</v>
      </c>
      <c r="P599" s="723">
        <v>0.14287604930802389</v>
      </c>
      <c r="Q599" s="702">
        <v>7557</v>
      </c>
    </row>
    <row r="600" spans="1:17" ht="14.4" customHeight="1" x14ac:dyDescent="0.3">
      <c r="A600" s="696" t="s">
        <v>5113</v>
      </c>
      <c r="B600" s="697" t="s">
        <v>4158</v>
      </c>
      <c r="C600" s="697" t="s">
        <v>2708</v>
      </c>
      <c r="D600" s="697" t="s">
        <v>5121</v>
      </c>
      <c r="E600" s="697" t="s">
        <v>5122</v>
      </c>
      <c r="F600" s="701"/>
      <c r="G600" s="701"/>
      <c r="H600" s="701"/>
      <c r="I600" s="701"/>
      <c r="J600" s="701">
        <v>1</v>
      </c>
      <c r="K600" s="701">
        <v>0</v>
      </c>
      <c r="L600" s="701"/>
      <c r="M600" s="701">
        <v>0</v>
      </c>
      <c r="N600" s="701"/>
      <c r="O600" s="701"/>
      <c r="P600" s="723"/>
      <c r="Q600" s="702"/>
    </row>
    <row r="601" spans="1:17" ht="14.4" customHeight="1" x14ac:dyDescent="0.3">
      <c r="A601" s="696" t="s">
        <v>5113</v>
      </c>
      <c r="B601" s="697" t="s">
        <v>4158</v>
      </c>
      <c r="C601" s="697" t="s">
        <v>2708</v>
      </c>
      <c r="D601" s="697" t="s">
        <v>5123</v>
      </c>
      <c r="E601" s="697" t="s">
        <v>5124</v>
      </c>
      <c r="F601" s="701"/>
      <c r="G601" s="701"/>
      <c r="H601" s="701"/>
      <c r="I601" s="701"/>
      <c r="J601" s="701"/>
      <c r="K601" s="701"/>
      <c r="L601" s="701"/>
      <c r="M601" s="701"/>
      <c r="N601" s="701">
        <v>1</v>
      </c>
      <c r="O601" s="701">
        <v>0</v>
      </c>
      <c r="P601" s="723"/>
      <c r="Q601" s="702">
        <v>0</v>
      </c>
    </row>
    <row r="602" spans="1:17" ht="14.4" customHeight="1" x14ac:dyDescent="0.3">
      <c r="A602" s="696" t="s">
        <v>5113</v>
      </c>
      <c r="B602" s="697" t="s">
        <v>4158</v>
      </c>
      <c r="C602" s="697" t="s">
        <v>2708</v>
      </c>
      <c r="D602" s="697" t="s">
        <v>5125</v>
      </c>
      <c r="E602" s="697" t="s">
        <v>5126</v>
      </c>
      <c r="F602" s="701"/>
      <c r="G602" s="701"/>
      <c r="H602" s="701"/>
      <c r="I602" s="701"/>
      <c r="J602" s="701">
        <v>4</v>
      </c>
      <c r="K602" s="701">
        <v>0</v>
      </c>
      <c r="L602" s="701"/>
      <c r="M602" s="701">
        <v>0</v>
      </c>
      <c r="N602" s="701"/>
      <c r="O602" s="701"/>
      <c r="P602" s="723"/>
      <c r="Q602" s="702"/>
    </row>
    <row r="603" spans="1:17" ht="14.4" customHeight="1" x14ac:dyDescent="0.3">
      <c r="A603" s="696" t="s">
        <v>5113</v>
      </c>
      <c r="B603" s="697" t="s">
        <v>4158</v>
      </c>
      <c r="C603" s="697" t="s">
        <v>2708</v>
      </c>
      <c r="D603" s="697" t="s">
        <v>5127</v>
      </c>
      <c r="E603" s="697" t="s">
        <v>5128</v>
      </c>
      <c r="F603" s="701"/>
      <c r="G603" s="701"/>
      <c r="H603" s="701"/>
      <c r="I603" s="701"/>
      <c r="J603" s="701">
        <v>4</v>
      </c>
      <c r="K603" s="701">
        <v>0</v>
      </c>
      <c r="L603" s="701"/>
      <c r="M603" s="701">
        <v>0</v>
      </c>
      <c r="N603" s="701"/>
      <c r="O603" s="701"/>
      <c r="P603" s="723"/>
      <c r="Q603" s="702"/>
    </row>
    <row r="604" spans="1:17" ht="14.4" customHeight="1" x14ac:dyDescent="0.3">
      <c r="A604" s="696" t="s">
        <v>5113</v>
      </c>
      <c r="B604" s="697" t="s">
        <v>4158</v>
      </c>
      <c r="C604" s="697" t="s">
        <v>2708</v>
      </c>
      <c r="D604" s="697" t="s">
        <v>4165</v>
      </c>
      <c r="E604" s="697" t="s">
        <v>4166</v>
      </c>
      <c r="F604" s="701"/>
      <c r="G604" s="701"/>
      <c r="H604" s="701"/>
      <c r="I604" s="701"/>
      <c r="J604" s="701"/>
      <c r="K604" s="701"/>
      <c r="L604" s="701"/>
      <c r="M604" s="701"/>
      <c r="N604" s="701">
        <v>3</v>
      </c>
      <c r="O604" s="701">
        <v>3320</v>
      </c>
      <c r="P604" s="723"/>
      <c r="Q604" s="702">
        <v>1106.6666666666667</v>
      </c>
    </row>
    <row r="605" spans="1:17" ht="14.4" customHeight="1" x14ac:dyDescent="0.3">
      <c r="A605" s="696" t="s">
        <v>5113</v>
      </c>
      <c r="B605" s="697" t="s">
        <v>4158</v>
      </c>
      <c r="C605" s="697" t="s">
        <v>2708</v>
      </c>
      <c r="D605" s="697" t="s">
        <v>5129</v>
      </c>
      <c r="E605" s="697" t="s">
        <v>5130</v>
      </c>
      <c r="F605" s="701"/>
      <c r="G605" s="701"/>
      <c r="H605" s="701"/>
      <c r="I605" s="701"/>
      <c r="J605" s="701"/>
      <c r="K605" s="701"/>
      <c r="L605" s="701"/>
      <c r="M605" s="701"/>
      <c r="N605" s="701">
        <v>1</v>
      </c>
      <c r="O605" s="701">
        <v>3835</v>
      </c>
      <c r="P605" s="723"/>
      <c r="Q605" s="702">
        <v>3835</v>
      </c>
    </row>
    <row r="606" spans="1:17" ht="14.4" customHeight="1" thickBot="1" x14ac:dyDescent="0.35">
      <c r="A606" s="703" t="s">
        <v>5113</v>
      </c>
      <c r="B606" s="704" t="s">
        <v>4158</v>
      </c>
      <c r="C606" s="704" t="s">
        <v>2708</v>
      </c>
      <c r="D606" s="704" t="s">
        <v>5131</v>
      </c>
      <c r="E606" s="704" t="s">
        <v>5132</v>
      </c>
      <c r="F606" s="708"/>
      <c r="G606" s="708"/>
      <c r="H606" s="708"/>
      <c r="I606" s="708"/>
      <c r="J606" s="708"/>
      <c r="K606" s="708"/>
      <c r="L606" s="708"/>
      <c r="M606" s="708"/>
      <c r="N606" s="708">
        <v>1</v>
      </c>
      <c r="O606" s="708">
        <v>3835</v>
      </c>
      <c r="P606" s="716"/>
      <c r="Q606" s="709">
        <v>3835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73" bestFit="1" customWidth="1"/>
    <col min="2" max="2" width="15.6640625" style="173" bestFit="1" customWidth="1"/>
    <col min="3" max="3" width="8.33203125" style="181" hidden="1" customWidth="1" outlineLevel="1"/>
    <col min="4" max="4" width="8.33203125" style="181" customWidth="1" collapsed="1"/>
    <col min="5" max="5" width="8.33203125" style="181" customWidth="1"/>
    <col min="6" max="6" width="6.109375" style="182" customWidth="1"/>
    <col min="7" max="7" width="8.33203125" style="181" hidden="1" customWidth="1" outlineLevel="1"/>
    <col min="8" max="8" width="8.33203125" style="181" customWidth="1" collapsed="1"/>
    <col min="9" max="9" width="8.33203125" style="181" customWidth="1"/>
    <col min="10" max="10" width="6.109375" style="182" customWidth="1"/>
    <col min="11" max="11" width="8.33203125" style="181" hidden="1" customWidth="1" outlineLevel="1"/>
    <col min="12" max="12" width="8.33203125" style="181" customWidth="1" collapsed="1"/>
    <col min="13" max="14" width="8.33203125" style="181" customWidth="1"/>
    <col min="15" max="16384" width="8.88671875" style="173"/>
  </cols>
  <sheetData>
    <row r="1" spans="1:14" ht="18.600000000000001" customHeight="1" thickBot="1" x14ac:dyDescent="0.4">
      <c r="A1" s="640" t="s">
        <v>161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</row>
    <row r="2" spans="1:14" ht="14.4" customHeight="1" thickBot="1" x14ac:dyDescent="0.35">
      <c r="A2" s="348" t="s">
        <v>297</v>
      </c>
      <c r="B2" s="174"/>
      <c r="C2" s="174"/>
      <c r="D2" s="174"/>
      <c r="E2" s="174"/>
      <c r="F2" s="174"/>
      <c r="G2" s="364"/>
      <c r="H2" s="364"/>
      <c r="I2" s="364"/>
      <c r="J2" s="174"/>
      <c r="K2" s="364"/>
      <c r="L2" s="364"/>
      <c r="M2" s="364"/>
      <c r="N2" s="174"/>
    </row>
    <row r="3" spans="1:14" ht="14.4" customHeight="1" thickBot="1" x14ac:dyDescent="0.35">
      <c r="A3" s="175"/>
      <c r="B3" s="176" t="s">
        <v>141</v>
      </c>
      <c r="C3" s="177">
        <f>SUBTOTAL(9,C6:C1048576)</f>
        <v>3574</v>
      </c>
      <c r="D3" s="178">
        <f>SUBTOTAL(9,D6:D1048576)</f>
        <v>3746</v>
      </c>
      <c r="E3" s="178">
        <f>SUBTOTAL(9,E6:E1048576)</f>
        <v>3743</v>
      </c>
      <c r="F3" s="179">
        <f>IF(OR(E3=0,D3=0),"",E3/D3)</f>
        <v>0.99919914575547253</v>
      </c>
      <c r="G3" s="365">
        <f>SUBTOTAL(9,G6:G1048576)</f>
        <v>39132.463000000003</v>
      </c>
      <c r="H3" s="366">
        <f>SUBTOTAL(9,H6:H1048576)</f>
        <v>41115.388839999992</v>
      </c>
      <c r="I3" s="366">
        <f>SUBTOTAL(9,I6:I1048576)</f>
        <v>42534.024999999987</v>
      </c>
      <c r="J3" s="179">
        <f>IF(OR(I3=0,H3=0),"",I3/H3)</f>
        <v>1.0345037758373294</v>
      </c>
      <c r="K3" s="365">
        <f>SUBTOTAL(9,K6:K1048576)</f>
        <v>7969.5</v>
      </c>
      <c r="L3" s="366">
        <f>SUBTOTAL(9,L6:L1048576)</f>
        <v>8435</v>
      </c>
      <c r="M3" s="366">
        <f>SUBTOTAL(9,M6:M1048576)</f>
        <v>8983</v>
      </c>
      <c r="N3" s="180">
        <f>IF(OR(M3=0,E3=0),"",M3*1000/E3)</f>
        <v>2399.9465669249266</v>
      </c>
    </row>
    <row r="4" spans="1:14" ht="14.4" customHeight="1" x14ac:dyDescent="0.3">
      <c r="A4" s="642" t="s">
        <v>76</v>
      </c>
      <c r="B4" s="643" t="s">
        <v>11</v>
      </c>
      <c r="C4" s="644" t="s">
        <v>77</v>
      </c>
      <c r="D4" s="644"/>
      <c r="E4" s="644"/>
      <c r="F4" s="645"/>
      <c r="G4" s="646" t="s">
        <v>237</v>
      </c>
      <c r="H4" s="644"/>
      <c r="I4" s="644"/>
      <c r="J4" s="645"/>
      <c r="K4" s="646" t="s">
        <v>78</v>
      </c>
      <c r="L4" s="644"/>
      <c r="M4" s="644"/>
      <c r="N4" s="647"/>
    </row>
    <row r="5" spans="1:14" ht="14.4" customHeight="1" thickBot="1" x14ac:dyDescent="0.35">
      <c r="A5" s="852"/>
      <c r="B5" s="853"/>
      <c r="C5" s="860">
        <v>2015</v>
      </c>
      <c r="D5" s="860">
        <v>2017</v>
      </c>
      <c r="E5" s="860">
        <v>2018</v>
      </c>
      <c r="F5" s="861" t="s">
        <v>2</v>
      </c>
      <c r="G5" s="871">
        <v>2015</v>
      </c>
      <c r="H5" s="860">
        <v>2017</v>
      </c>
      <c r="I5" s="860">
        <v>2018</v>
      </c>
      <c r="J5" s="861" t="s">
        <v>2</v>
      </c>
      <c r="K5" s="871">
        <v>2015</v>
      </c>
      <c r="L5" s="860">
        <v>2017</v>
      </c>
      <c r="M5" s="860">
        <v>2018</v>
      </c>
      <c r="N5" s="872" t="s">
        <v>79</v>
      </c>
    </row>
    <row r="6" spans="1:14" ht="14.4" customHeight="1" x14ac:dyDescent="0.3">
      <c r="A6" s="854" t="s">
        <v>3702</v>
      </c>
      <c r="B6" s="857" t="s">
        <v>5134</v>
      </c>
      <c r="C6" s="862">
        <v>10</v>
      </c>
      <c r="D6" s="863">
        <v>4</v>
      </c>
      <c r="E6" s="863">
        <v>14</v>
      </c>
      <c r="F6" s="868">
        <v>1.4</v>
      </c>
      <c r="G6" s="862">
        <v>287.69400000000002</v>
      </c>
      <c r="H6" s="863">
        <v>115.0776</v>
      </c>
      <c r="I6" s="863">
        <v>402.77160000000009</v>
      </c>
      <c r="J6" s="868">
        <v>1.4000000000000001</v>
      </c>
      <c r="K6" s="862">
        <v>110</v>
      </c>
      <c r="L6" s="863">
        <v>44</v>
      </c>
      <c r="M6" s="863">
        <v>154</v>
      </c>
      <c r="N6" s="873">
        <v>11000</v>
      </c>
    </row>
    <row r="7" spans="1:14" ht="14.4" customHeight="1" x14ac:dyDescent="0.3">
      <c r="A7" s="855" t="s">
        <v>3734</v>
      </c>
      <c r="B7" s="858" t="s">
        <v>5134</v>
      </c>
      <c r="C7" s="864">
        <v>68</v>
      </c>
      <c r="D7" s="865">
        <v>89</v>
      </c>
      <c r="E7" s="865">
        <v>101</v>
      </c>
      <c r="F7" s="869">
        <v>1.4852941176470589</v>
      </c>
      <c r="G7" s="864">
        <v>1711.5192</v>
      </c>
      <c r="H7" s="865">
        <v>2240.0765999999994</v>
      </c>
      <c r="I7" s="865">
        <v>2542.1093999999998</v>
      </c>
      <c r="J7" s="869">
        <v>1.4852941176470587</v>
      </c>
      <c r="K7" s="864">
        <v>612</v>
      </c>
      <c r="L7" s="865">
        <v>801</v>
      </c>
      <c r="M7" s="865">
        <v>909</v>
      </c>
      <c r="N7" s="874">
        <v>9000</v>
      </c>
    </row>
    <row r="8" spans="1:14" ht="14.4" customHeight="1" x14ac:dyDescent="0.3">
      <c r="A8" s="855" t="s">
        <v>3729</v>
      </c>
      <c r="B8" s="858" t="s">
        <v>5134</v>
      </c>
      <c r="C8" s="864">
        <v>123</v>
      </c>
      <c r="D8" s="865">
        <v>139</v>
      </c>
      <c r="E8" s="865">
        <v>207</v>
      </c>
      <c r="F8" s="869">
        <v>1.6829268292682926</v>
      </c>
      <c r="G8" s="864">
        <v>2653.0362</v>
      </c>
      <c r="H8" s="865">
        <v>2998.1465999999991</v>
      </c>
      <c r="I8" s="865">
        <v>4471.5762799999993</v>
      </c>
      <c r="J8" s="869">
        <v>1.6854561878952121</v>
      </c>
      <c r="K8" s="864">
        <v>861</v>
      </c>
      <c r="L8" s="865">
        <v>973</v>
      </c>
      <c r="M8" s="865">
        <v>1449</v>
      </c>
      <c r="N8" s="874">
        <v>7000</v>
      </c>
    </row>
    <row r="9" spans="1:14" ht="14.4" customHeight="1" x14ac:dyDescent="0.3">
      <c r="A9" s="855" t="s">
        <v>3704</v>
      </c>
      <c r="B9" s="858" t="s">
        <v>5134</v>
      </c>
      <c r="C9" s="864">
        <v>3033</v>
      </c>
      <c r="D9" s="865">
        <v>3126</v>
      </c>
      <c r="E9" s="865">
        <v>3065</v>
      </c>
      <c r="F9" s="869">
        <v>1.0105506099571382</v>
      </c>
      <c r="G9" s="864">
        <v>32478.810000000005</v>
      </c>
      <c r="H9" s="865">
        <v>33471.019799999995</v>
      </c>
      <c r="I9" s="865">
        <v>32992.284519999994</v>
      </c>
      <c r="J9" s="869">
        <v>1.0158095238095235</v>
      </c>
      <c r="K9" s="864">
        <v>6066</v>
      </c>
      <c r="L9" s="865">
        <v>6252</v>
      </c>
      <c r="M9" s="865">
        <v>6130</v>
      </c>
      <c r="N9" s="874">
        <v>2000</v>
      </c>
    </row>
    <row r="10" spans="1:14" ht="14.4" customHeight="1" x14ac:dyDescent="0.3">
      <c r="A10" s="855" t="s">
        <v>3731</v>
      </c>
      <c r="B10" s="858" t="s">
        <v>5134</v>
      </c>
      <c r="C10" s="864">
        <v>301</v>
      </c>
      <c r="D10" s="865">
        <v>342</v>
      </c>
      <c r="E10" s="865">
        <v>326</v>
      </c>
      <c r="F10" s="869">
        <v>1.0830564784053156</v>
      </c>
      <c r="G10" s="864">
        <v>1809.1959999999995</v>
      </c>
      <c r="H10" s="865">
        <v>2060.7476799999999</v>
      </c>
      <c r="I10" s="865">
        <v>1977.4311999999998</v>
      </c>
      <c r="J10" s="869">
        <v>1.0929889298892992</v>
      </c>
      <c r="K10" s="864">
        <v>301</v>
      </c>
      <c r="L10" s="865">
        <v>342</v>
      </c>
      <c r="M10" s="865">
        <v>326</v>
      </c>
      <c r="N10" s="874">
        <v>1000</v>
      </c>
    </row>
    <row r="11" spans="1:14" ht="14.4" customHeight="1" thickBot="1" x14ac:dyDescent="0.35">
      <c r="A11" s="856" t="s">
        <v>3725</v>
      </c>
      <c r="B11" s="859" t="s">
        <v>5134</v>
      </c>
      <c r="C11" s="866">
        <v>39</v>
      </c>
      <c r="D11" s="867">
        <v>46</v>
      </c>
      <c r="E11" s="867">
        <v>30</v>
      </c>
      <c r="F11" s="870">
        <v>0.76923076923076927</v>
      </c>
      <c r="G11" s="866">
        <v>192.20759999999996</v>
      </c>
      <c r="H11" s="867">
        <v>230.32056</v>
      </c>
      <c r="I11" s="867">
        <v>147.85199999999998</v>
      </c>
      <c r="J11" s="870">
        <v>0.76923076923076927</v>
      </c>
      <c r="K11" s="866">
        <v>19.5</v>
      </c>
      <c r="L11" s="867">
        <v>23</v>
      </c>
      <c r="M11" s="867">
        <v>15</v>
      </c>
      <c r="N11" s="875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31" bestFit="1" customWidth="1"/>
    <col min="2" max="2" width="9.5546875" style="231" hidden="1" customWidth="1" outlineLevel="1"/>
    <col min="3" max="3" width="9.5546875" style="231" customWidth="1" collapsed="1"/>
    <col min="4" max="4" width="2.21875" style="231" customWidth="1"/>
    <col min="5" max="8" width="9.5546875" style="231" customWidth="1"/>
    <col min="9" max="10" width="9.77734375" style="231" hidden="1" customWidth="1" outlineLevel="1"/>
    <col min="11" max="11" width="8.88671875" style="231" collapsed="1"/>
    <col min="12" max="16384" width="8.88671875" style="231"/>
  </cols>
  <sheetData>
    <row r="1" spans="1:10" ht="18.600000000000001" customHeight="1" thickBot="1" x14ac:dyDescent="0.4">
      <c r="A1" s="493" t="s">
        <v>156</v>
      </c>
      <c r="B1" s="493"/>
      <c r="C1" s="493"/>
      <c r="D1" s="493"/>
      <c r="E1" s="493"/>
      <c r="F1" s="493"/>
      <c r="G1" s="493"/>
      <c r="H1" s="493"/>
      <c r="I1" s="493"/>
      <c r="J1" s="493"/>
    </row>
    <row r="2" spans="1:10" ht="14.4" customHeight="1" thickBot="1" x14ac:dyDescent="0.35">
      <c r="A2" s="348" t="s">
        <v>297</v>
      </c>
      <c r="B2" s="204"/>
      <c r="C2" s="204"/>
      <c r="D2" s="204"/>
      <c r="E2" s="204"/>
      <c r="F2" s="204"/>
    </row>
    <row r="3" spans="1:10" ht="14.4" customHeight="1" x14ac:dyDescent="0.3">
      <c r="A3" s="484"/>
      <c r="B3" s="200">
        <v>2015</v>
      </c>
      <c r="C3" s="44">
        <v>2017</v>
      </c>
      <c r="D3" s="11"/>
      <c r="E3" s="488">
        <v>2018</v>
      </c>
      <c r="F3" s="489"/>
      <c r="G3" s="489"/>
      <c r="H3" s="490"/>
      <c r="I3" s="491">
        <v>2017</v>
      </c>
      <c r="J3" s="492"/>
    </row>
    <row r="4" spans="1:10" ht="14.4" customHeight="1" thickBot="1" x14ac:dyDescent="0.35">
      <c r="A4" s="485"/>
      <c r="B4" s="486" t="s">
        <v>80</v>
      </c>
      <c r="C4" s="487"/>
      <c r="D4" s="11"/>
      <c r="E4" s="221" t="s">
        <v>80</v>
      </c>
      <c r="F4" s="202" t="s">
        <v>81</v>
      </c>
      <c r="G4" s="202" t="s">
        <v>55</v>
      </c>
      <c r="H4" s="203" t="s">
        <v>82</v>
      </c>
      <c r="I4" s="405" t="s">
        <v>233</v>
      </c>
      <c r="J4" s="406" t="s">
        <v>234</v>
      </c>
    </row>
    <row r="5" spans="1:10" ht="14.4" customHeight="1" x14ac:dyDescent="0.3">
      <c r="A5" s="205" t="str">
        <f>HYPERLINK("#'Léky Žádanky'!A1","Léky (Kč)")</f>
        <v>Léky (Kč)</v>
      </c>
      <c r="B5" s="31">
        <v>9973.4979400000011</v>
      </c>
      <c r="C5" s="33">
        <v>10842.020960000003</v>
      </c>
      <c r="D5" s="12"/>
      <c r="E5" s="210">
        <v>10967.659520000001</v>
      </c>
      <c r="F5" s="32">
        <v>10701.626812500001</v>
      </c>
      <c r="G5" s="209">
        <f>E5-F5</f>
        <v>266.03270750000047</v>
      </c>
      <c r="H5" s="215">
        <f>IF(F5&lt;0.00000001,"",E5/F5)</f>
        <v>1.0248590903197317</v>
      </c>
    </row>
    <row r="6" spans="1:10" ht="14.4" customHeight="1" x14ac:dyDescent="0.3">
      <c r="A6" s="205" t="str">
        <f>HYPERLINK("#'Materiál Žádanky'!A1","Materiál - SZM (Kč)")</f>
        <v>Materiál - SZM (Kč)</v>
      </c>
      <c r="B6" s="14">
        <v>3747.9295199999992</v>
      </c>
      <c r="C6" s="35">
        <v>4410.99838</v>
      </c>
      <c r="D6" s="12"/>
      <c r="E6" s="211">
        <v>4667.7559700000002</v>
      </c>
      <c r="F6" s="34">
        <v>4747.3791907653813</v>
      </c>
      <c r="G6" s="212">
        <f>E6-F6</f>
        <v>-79.62322076538112</v>
      </c>
      <c r="H6" s="216">
        <f>IF(F6&lt;0.00000001,"",E6/F6)</f>
        <v>0.9832279627209336</v>
      </c>
    </row>
    <row r="7" spans="1:10" ht="14.4" customHeight="1" x14ac:dyDescent="0.3">
      <c r="A7" s="205" t="str">
        <f>HYPERLINK("#'Osobní náklady'!A1","Osobní náklady (Kč) *")</f>
        <v>Osobní náklady (Kč) *</v>
      </c>
      <c r="B7" s="14">
        <v>42785.85441</v>
      </c>
      <c r="C7" s="35">
        <v>47854.796720000006</v>
      </c>
      <c r="D7" s="12"/>
      <c r="E7" s="211">
        <v>54222.82561</v>
      </c>
      <c r="F7" s="34">
        <v>49393.942531249995</v>
      </c>
      <c r="G7" s="212">
        <f>E7-F7</f>
        <v>4828.8830787500046</v>
      </c>
      <c r="H7" s="216">
        <f>IF(F7&lt;0.00000001,"",E7/F7)</f>
        <v>1.0977626573480124</v>
      </c>
    </row>
    <row r="8" spans="1:10" ht="14.4" customHeight="1" thickBot="1" x14ac:dyDescent="0.35">
      <c r="A8" s="1" t="s">
        <v>83</v>
      </c>
      <c r="B8" s="15">
        <v>11171.133980000019</v>
      </c>
      <c r="C8" s="37">
        <v>8977.5305699999917</v>
      </c>
      <c r="D8" s="12"/>
      <c r="E8" s="213">
        <v>9141.3435299999965</v>
      </c>
      <c r="F8" s="36">
        <v>8509.4103976059014</v>
      </c>
      <c r="G8" s="214">
        <f>E8-F8</f>
        <v>631.93313239409508</v>
      </c>
      <c r="H8" s="217">
        <f>IF(F8&lt;0.00000001,"",E8/F8)</f>
        <v>1.0742628575737618</v>
      </c>
    </row>
    <row r="9" spans="1:10" ht="14.4" customHeight="1" thickBot="1" x14ac:dyDescent="0.35">
      <c r="A9" s="2" t="s">
        <v>84</v>
      </c>
      <c r="B9" s="3">
        <v>67678.415850000019</v>
      </c>
      <c r="C9" s="39">
        <v>72085.34663</v>
      </c>
      <c r="D9" s="12"/>
      <c r="E9" s="3">
        <v>78999.584629999998</v>
      </c>
      <c r="F9" s="38">
        <v>73352.358932121278</v>
      </c>
      <c r="G9" s="38">
        <f>E9-F9</f>
        <v>5647.2256978787191</v>
      </c>
      <c r="H9" s="218">
        <f>IF(F9&lt;0.00000001,"",E9/F9)</f>
        <v>1.0769876494783834</v>
      </c>
    </row>
    <row r="10" spans="1:10" ht="14.4" customHeight="1" thickBot="1" x14ac:dyDescent="0.35">
      <c r="A10" s="16"/>
      <c r="B10" s="16"/>
      <c r="C10" s="201"/>
      <c r="D10" s="12"/>
      <c r="E10" s="16"/>
      <c r="F10" s="17"/>
    </row>
    <row r="11" spans="1:10" ht="14.4" customHeight="1" x14ac:dyDescent="0.3">
      <c r="A11" s="234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IF(ISERROR(VLOOKUP("Celkem:",#REF!,5,0)),0,VLOOKUP("Celkem:",#REF!,5,0)/1000)</f>
        <v>0</v>
      </c>
      <c r="D11" s="12"/>
      <c r="E11" s="210">
        <f>IF(ISERROR(VLOOKUP("Celkem:",#REF!,8,0)),0,VLOOKUP("Celkem:",#REF!,8,0)/1000)</f>
        <v>0</v>
      </c>
      <c r="F11" s="32">
        <f>C11</f>
        <v>0</v>
      </c>
      <c r="G11" s="209">
        <f>E11-F11</f>
        <v>0</v>
      </c>
      <c r="H11" s="215" t="str">
        <f>IF(F11&lt;0.00000001,"",E11/F11)</f>
        <v/>
      </c>
      <c r="I11" s="209">
        <f>E11-B11</f>
        <v>0</v>
      </c>
      <c r="J11" s="215" t="str">
        <f>IF(B11&lt;0.00000001,"",E11/B11)</f>
        <v/>
      </c>
    </row>
    <row r="12" spans="1:10" ht="14.4" customHeight="1" thickBot="1" x14ac:dyDescent="0.35">
      <c r="A12" s="235" t="str">
        <f>HYPERLINK("#CaseMix!A1","Hospitalizace *")</f>
        <v>Hospitalizace *</v>
      </c>
      <c r="B12" s="15">
        <f>IF(ISERROR(VLOOKUP("Celkem",CaseMix!A:D,2,0)),0,VLOOKUP("Celkem",CaseMix!A:D,2,0)*30)</f>
        <v>14414.640000000001</v>
      </c>
      <c r="C12" s="37">
        <f>IF(ISERROR(VLOOKUP("Celkem",CaseMix!A:D,3,0)),0,VLOOKUP("Celkem",CaseMix!A:D,3,0)*30)</f>
        <v>19792.830000000002</v>
      </c>
      <c r="D12" s="12"/>
      <c r="E12" s="213">
        <f>IF(ISERROR(VLOOKUP("Celkem",CaseMix!A:D,4,0)),0,VLOOKUP("Celkem",CaseMix!A:D,4,0)*30)</f>
        <v>19999.710000000003</v>
      </c>
      <c r="F12" s="36">
        <f>C12</f>
        <v>19792.830000000002</v>
      </c>
      <c r="G12" s="214">
        <f>E12-F12</f>
        <v>206.88000000000102</v>
      </c>
      <c r="H12" s="217">
        <f>IF(F12&lt;0.00000001,"",E12/F12)</f>
        <v>1.0104522698371077</v>
      </c>
      <c r="I12" s="214">
        <f>E12-B12</f>
        <v>5585.0700000000015</v>
      </c>
      <c r="J12" s="217">
        <f>IF(B12&lt;0.00000001,"",E12/B12)</f>
        <v>1.3874581675296782</v>
      </c>
    </row>
    <row r="13" spans="1:10" ht="14.4" customHeight="1" thickBot="1" x14ac:dyDescent="0.35">
      <c r="A13" s="4" t="s">
        <v>87</v>
      </c>
      <c r="B13" s="9">
        <f>SUM(B11:B12)</f>
        <v>14414.640000000001</v>
      </c>
      <c r="C13" s="41">
        <f>SUM(C11:C12)</f>
        <v>19792.830000000002</v>
      </c>
      <c r="D13" s="12"/>
      <c r="E13" s="9">
        <f>SUM(E11:E12)</f>
        <v>19999.710000000003</v>
      </c>
      <c r="F13" s="40">
        <f>SUM(F11:F12)</f>
        <v>19792.830000000002</v>
      </c>
      <c r="G13" s="40">
        <f>E13-F13</f>
        <v>206.88000000000102</v>
      </c>
      <c r="H13" s="219">
        <f>IF(F13&lt;0.00000001,"",E13/F13)</f>
        <v>1.0104522698371077</v>
      </c>
      <c r="I13" s="40">
        <f>SUM(I11:I12)</f>
        <v>5585.0700000000015</v>
      </c>
      <c r="J13" s="219">
        <f>IF(B13&lt;0.00000001,"",E13/B13)</f>
        <v>1.3874581675296782</v>
      </c>
    </row>
    <row r="14" spans="1:10" ht="14.4" customHeight="1" thickBot="1" x14ac:dyDescent="0.35">
      <c r="A14" s="16"/>
      <c r="B14" s="16"/>
      <c r="C14" s="201"/>
      <c r="D14" s="12"/>
      <c r="E14" s="16"/>
      <c r="F14" s="17"/>
    </row>
    <row r="15" spans="1:10" ht="14.4" customHeight="1" thickBot="1" x14ac:dyDescent="0.35">
      <c r="A15" s="236" t="str">
        <f>HYPERLINK("#'HI Graf'!A1","Hospodářský index (Výnosy / Náklady) *")</f>
        <v>Hospodářský index (Výnosy / Náklady) *</v>
      </c>
      <c r="B15" s="10">
        <f>IF(B9=0,"",B13/B9)</f>
        <v>0.21298725478368297</v>
      </c>
      <c r="C15" s="43">
        <f>IF(C9=0,"",C13/C9)</f>
        <v>0.27457494380366554</v>
      </c>
      <c r="D15" s="12"/>
      <c r="E15" s="10">
        <f>IF(E9=0,"",E13/E9)</f>
        <v>0.25316221716443221</v>
      </c>
      <c r="F15" s="42">
        <f>IF(F9=0,"",F13/F9)</f>
        <v>0.26983222200550999</v>
      </c>
      <c r="G15" s="42">
        <f>IF(ISERROR(F15-E15),"",E15-F15)</f>
        <v>-1.6670004841077779E-2</v>
      </c>
      <c r="H15" s="220">
        <f>IF(ISERROR(F15-E15),"",IF(F15&lt;0.00000001,"",E15/F15))</f>
        <v>0.93822085176789083</v>
      </c>
    </row>
    <row r="17" spans="1:8" ht="14.4" customHeight="1" x14ac:dyDescent="0.3">
      <c r="A17" s="206" t="s">
        <v>176</v>
      </c>
    </row>
    <row r="18" spans="1:8" ht="14.4" customHeight="1" x14ac:dyDescent="0.3">
      <c r="A18" s="351" t="s">
        <v>206</v>
      </c>
      <c r="B18" s="352"/>
      <c r="C18" s="352"/>
      <c r="D18" s="352"/>
      <c r="E18" s="352"/>
      <c r="F18" s="352"/>
      <c r="G18" s="352"/>
      <c r="H18" s="352"/>
    </row>
    <row r="19" spans="1:8" x14ac:dyDescent="0.3">
      <c r="A19" s="350" t="s">
        <v>205</v>
      </c>
      <c r="B19" s="352"/>
      <c r="C19" s="352"/>
      <c r="D19" s="352"/>
      <c r="E19" s="352"/>
      <c r="F19" s="352"/>
      <c r="G19" s="352"/>
      <c r="H19" s="352"/>
    </row>
    <row r="20" spans="1:8" ht="14.4" customHeight="1" x14ac:dyDescent="0.3">
      <c r="A20" s="207" t="s">
        <v>226</v>
      </c>
    </row>
    <row r="21" spans="1:8" ht="14.4" customHeight="1" x14ac:dyDescent="0.3">
      <c r="A21" s="207" t="s">
        <v>177</v>
      </c>
    </row>
    <row r="22" spans="1:8" ht="14.4" customHeight="1" x14ac:dyDescent="0.3">
      <c r="A22" s="208" t="s">
        <v>271</v>
      </c>
    </row>
    <row r="23" spans="1:8" ht="14.4" customHeight="1" x14ac:dyDescent="0.3">
      <c r="A23" s="208" t="s">
        <v>178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5" priority="8" operator="greaterThan">
      <formula>0</formula>
    </cfRule>
  </conditionalFormatting>
  <conditionalFormatting sqref="G11:G13 G15">
    <cfRule type="cellIs" dxfId="64" priority="7" operator="lessThan">
      <formula>0</formula>
    </cfRule>
  </conditionalFormatting>
  <conditionalFormatting sqref="H5:H9">
    <cfRule type="cellIs" dxfId="63" priority="6" operator="greaterThan">
      <formula>1</formula>
    </cfRule>
  </conditionalFormatting>
  <conditionalFormatting sqref="H11:H13 H15">
    <cfRule type="cellIs" dxfId="62" priority="5" operator="lessThan">
      <formula>1</formula>
    </cfRule>
  </conditionalFormatting>
  <conditionalFormatting sqref="I11:I13">
    <cfRule type="cellIs" dxfId="61" priority="4" operator="lessThan">
      <formula>0</formula>
    </cfRule>
  </conditionalFormatting>
  <conditionalFormatting sqref="J11:J13">
    <cfRule type="cellIs" dxfId="6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1"/>
    <col min="2" max="13" width="8.88671875" style="231" customWidth="1"/>
    <col min="14" max="16384" width="8.88671875" style="231"/>
  </cols>
  <sheetData>
    <row r="1" spans="1:13" ht="18.600000000000001" customHeight="1" thickBot="1" x14ac:dyDescent="0.4">
      <c r="A1" s="482" t="s">
        <v>114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x14ac:dyDescent="0.3">
      <c r="A2" s="348" t="s">
        <v>297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14.4" customHeight="1" x14ac:dyDescent="0.3">
      <c r="A3" s="301"/>
      <c r="B3" s="302" t="s">
        <v>89</v>
      </c>
      <c r="C3" s="303" t="s">
        <v>90</v>
      </c>
      <c r="D3" s="303" t="s">
        <v>91</v>
      </c>
      <c r="E3" s="302" t="s">
        <v>92</v>
      </c>
      <c r="F3" s="303" t="s">
        <v>93</v>
      </c>
      <c r="G3" s="303" t="s">
        <v>94</v>
      </c>
      <c r="H3" s="303" t="s">
        <v>95</v>
      </c>
      <c r="I3" s="303" t="s">
        <v>96</v>
      </c>
      <c r="J3" s="303" t="s">
        <v>97</v>
      </c>
      <c r="K3" s="303" t="s">
        <v>98</v>
      </c>
      <c r="L3" s="303" t="s">
        <v>99</v>
      </c>
      <c r="M3" s="303" t="s">
        <v>100</v>
      </c>
    </row>
    <row r="4" spans="1:13" ht="14.4" customHeight="1" x14ac:dyDescent="0.3">
      <c r="A4" s="301" t="s">
        <v>88</v>
      </c>
      <c r="B4" s="304">
        <f>(B10+B8)/B6</f>
        <v>0.15167223418464723</v>
      </c>
      <c r="C4" s="304">
        <f t="shared" ref="C4:M4" si="0">(C10+C8)/C6</f>
        <v>0.33239241914419204</v>
      </c>
      <c r="D4" s="304">
        <f t="shared" si="0"/>
        <v>0.25897470425111141</v>
      </c>
      <c r="E4" s="304">
        <f t="shared" si="0"/>
        <v>0.31240954106063057</v>
      </c>
      <c r="F4" s="304">
        <f t="shared" si="0"/>
        <v>0.2780507711529504</v>
      </c>
      <c r="G4" s="304">
        <f t="shared" si="0"/>
        <v>0.27738042918349015</v>
      </c>
      <c r="H4" s="304">
        <f t="shared" si="0"/>
        <v>0.31298954488133407</v>
      </c>
      <c r="I4" s="304">
        <f t="shared" si="0"/>
        <v>0.31882407767608917</v>
      </c>
      <c r="J4" s="304">
        <f t="shared" si="0"/>
        <v>0.29351473464880751</v>
      </c>
      <c r="K4" s="304">
        <f t="shared" si="0"/>
        <v>0.27687126431007497</v>
      </c>
      <c r="L4" s="304">
        <f t="shared" si="0"/>
        <v>0.25806621542683794</v>
      </c>
      <c r="M4" s="304">
        <f t="shared" si="0"/>
        <v>0.25316221716443182</v>
      </c>
    </row>
    <row r="5" spans="1:13" ht="14.4" customHeight="1" x14ac:dyDescent="0.3">
      <c r="A5" s="305" t="s">
        <v>40</v>
      </c>
      <c r="B5" s="304">
        <f>IF(ISERROR(VLOOKUP($A5,'Man Tab'!$A:$Q,COLUMN()+2,0)),0,VLOOKUP($A5,'Man Tab'!$A:$Q,COLUMN()+2,0))</f>
        <v>5946.3091899999999</v>
      </c>
      <c r="C5" s="304">
        <f>IF(ISERROR(VLOOKUP($A5,'Man Tab'!$A:$Q,COLUMN()+2,0)),0,VLOOKUP($A5,'Man Tab'!$A:$Q,COLUMN()+2,0))</f>
        <v>5852.7866199999999</v>
      </c>
      <c r="D5" s="304">
        <f>IF(ISERROR(VLOOKUP($A5,'Man Tab'!$A:$Q,COLUMN()+2,0)),0,VLOOKUP($A5,'Man Tab'!$A:$Q,COLUMN()+2,0))</f>
        <v>5883.6350700000203</v>
      </c>
      <c r="E5" s="304">
        <f>IF(ISERROR(VLOOKUP($A5,'Man Tab'!$A:$Q,COLUMN()+2,0)),0,VLOOKUP($A5,'Man Tab'!$A:$Q,COLUMN()+2,0))</f>
        <v>6593.9604600000303</v>
      </c>
      <c r="F5" s="304">
        <f>IF(ISERROR(VLOOKUP($A5,'Man Tab'!$A:$Q,COLUMN()+2,0)),0,VLOOKUP($A5,'Man Tab'!$A:$Q,COLUMN()+2,0))</f>
        <v>7235.6830499999996</v>
      </c>
      <c r="G5" s="304">
        <f>IF(ISERROR(VLOOKUP($A5,'Man Tab'!$A:$Q,COLUMN()+2,0)),0,VLOOKUP($A5,'Man Tab'!$A:$Q,COLUMN()+2,0))</f>
        <v>6472.1006900000002</v>
      </c>
      <c r="H5" s="304">
        <f>IF(ISERROR(VLOOKUP($A5,'Man Tab'!$A:$Q,COLUMN()+2,0)),0,VLOOKUP($A5,'Man Tab'!$A:$Q,COLUMN()+2,0))</f>
        <v>7438.2881799999996</v>
      </c>
      <c r="I5" s="304">
        <f>IF(ISERROR(VLOOKUP($A5,'Man Tab'!$A:$Q,COLUMN()+2,0)),0,VLOOKUP($A5,'Man Tab'!$A:$Q,COLUMN()+2,0))</f>
        <v>6212.0132599999997</v>
      </c>
      <c r="J5" s="304">
        <f>IF(ISERROR(VLOOKUP($A5,'Man Tab'!$A:$Q,COLUMN()+2,0)),0,VLOOKUP($A5,'Man Tab'!$A:$Q,COLUMN()+2,0))</f>
        <v>6912.9826600000097</v>
      </c>
      <c r="K5" s="304">
        <f>IF(ISERROR(VLOOKUP($A5,'Man Tab'!$A:$Q,COLUMN()+2,0)),0,VLOOKUP($A5,'Man Tab'!$A:$Q,COLUMN()+2,0))</f>
        <v>6580.4513800000304</v>
      </c>
      <c r="L5" s="304">
        <f>IF(ISERROR(VLOOKUP($A5,'Man Tab'!$A:$Q,COLUMN()+2,0)),0,VLOOKUP($A5,'Man Tab'!$A:$Q,COLUMN()+2,0))</f>
        <v>7524.1897900000104</v>
      </c>
      <c r="M5" s="304">
        <f>IF(ISERROR(VLOOKUP($A5,'Man Tab'!$A:$Q,COLUMN()+2,0)),0,VLOOKUP($A5,'Man Tab'!$A:$Q,COLUMN()+2,0))</f>
        <v>6347.1842800000304</v>
      </c>
    </row>
    <row r="6" spans="1:13" ht="14.4" customHeight="1" x14ac:dyDescent="0.3">
      <c r="A6" s="305" t="s">
        <v>84</v>
      </c>
      <c r="B6" s="306">
        <f>B5</f>
        <v>5946.3091899999999</v>
      </c>
      <c r="C6" s="306">
        <f t="shared" ref="C6:M6" si="1">C5+B6</f>
        <v>11799.095809999999</v>
      </c>
      <c r="D6" s="306">
        <f t="shared" si="1"/>
        <v>17682.730880000017</v>
      </c>
      <c r="E6" s="306">
        <f t="shared" si="1"/>
        <v>24276.691340000049</v>
      </c>
      <c r="F6" s="306">
        <f t="shared" si="1"/>
        <v>31512.374390000048</v>
      </c>
      <c r="G6" s="306">
        <f t="shared" si="1"/>
        <v>37984.475080000047</v>
      </c>
      <c r="H6" s="306">
        <f t="shared" si="1"/>
        <v>45422.763260000051</v>
      </c>
      <c r="I6" s="306">
        <f t="shared" si="1"/>
        <v>51634.77652000005</v>
      </c>
      <c r="J6" s="306">
        <f t="shared" si="1"/>
        <v>58547.759180000059</v>
      </c>
      <c r="K6" s="306">
        <f t="shared" si="1"/>
        <v>65128.210560000087</v>
      </c>
      <c r="L6" s="306">
        <f t="shared" si="1"/>
        <v>72652.400350000098</v>
      </c>
      <c r="M6" s="306">
        <f t="shared" si="1"/>
        <v>78999.584630000129</v>
      </c>
    </row>
    <row r="7" spans="1:13" ht="14.4" customHeight="1" x14ac:dyDescent="0.3">
      <c r="A7" s="305" t="s">
        <v>112</v>
      </c>
      <c r="B7" s="305">
        <v>30.062999999999999</v>
      </c>
      <c r="C7" s="305">
        <v>130.73099999999999</v>
      </c>
      <c r="D7" s="305">
        <v>152.64599999999999</v>
      </c>
      <c r="E7" s="305">
        <v>252.809</v>
      </c>
      <c r="F7" s="305">
        <v>292.06799999999998</v>
      </c>
      <c r="G7" s="305">
        <v>351.20499999999998</v>
      </c>
      <c r="H7" s="305">
        <v>473.89499999999998</v>
      </c>
      <c r="I7" s="305">
        <v>548.74699999999996</v>
      </c>
      <c r="J7" s="305">
        <v>572.82100000000003</v>
      </c>
      <c r="K7" s="305">
        <v>601.07100000000003</v>
      </c>
      <c r="L7" s="305">
        <v>624.971</v>
      </c>
      <c r="M7" s="305">
        <v>666.65700000000004</v>
      </c>
    </row>
    <row r="8" spans="1:13" ht="14.4" customHeight="1" x14ac:dyDescent="0.3">
      <c r="A8" s="305" t="s">
        <v>85</v>
      </c>
      <c r="B8" s="306">
        <f>B7*30</f>
        <v>901.89</v>
      </c>
      <c r="C8" s="306">
        <f t="shared" ref="C8:M8" si="2">C7*30</f>
        <v>3921.93</v>
      </c>
      <c r="D8" s="306">
        <f t="shared" si="2"/>
        <v>4579.3799999999992</v>
      </c>
      <c r="E8" s="306">
        <f t="shared" si="2"/>
        <v>7584.2699999999995</v>
      </c>
      <c r="F8" s="306">
        <f t="shared" si="2"/>
        <v>8762.0399999999991</v>
      </c>
      <c r="G8" s="306">
        <f t="shared" si="2"/>
        <v>10536.15</v>
      </c>
      <c r="H8" s="306">
        <f t="shared" si="2"/>
        <v>14216.849999999999</v>
      </c>
      <c r="I8" s="306">
        <f t="shared" si="2"/>
        <v>16462.41</v>
      </c>
      <c r="J8" s="306">
        <f t="shared" si="2"/>
        <v>17184.63</v>
      </c>
      <c r="K8" s="306">
        <f t="shared" si="2"/>
        <v>18032.13</v>
      </c>
      <c r="L8" s="306">
        <f t="shared" si="2"/>
        <v>18749.13</v>
      </c>
      <c r="M8" s="306">
        <f t="shared" si="2"/>
        <v>19999.710000000003</v>
      </c>
    </row>
    <row r="9" spans="1:13" ht="14.4" customHeight="1" x14ac:dyDescent="0.3">
      <c r="A9" s="305" t="s">
        <v>113</v>
      </c>
      <c r="B9" s="305">
        <v>0</v>
      </c>
      <c r="C9" s="305">
        <v>0</v>
      </c>
      <c r="D9" s="305">
        <v>0</v>
      </c>
      <c r="E9" s="305">
        <v>0</v>
      </c>
      <c r="F9" s="305">
        <v>0</v>
      </c>
      <c r="G9" s="305">
        <v>0</v>
      </c>
      <c r="H9" s="305">
        <v>0</v>
      </c>
      <c r="I9" s="305">
        <v>0</v>
      </c>
      <c r="J9" s="305">
        <v>0</v>
      </c>
      <c r="K9" s="305">
        <v>0</v>
      </c>
      <c r="L9" s="305">
        <v>0</v>
      </c>
      <c r="M9" s="305">
        <v>0</v>
      </c>
    </row>
    <row r="10" spans="1:13" ht="14.4" customHeight="1" x14ac:dyDescent="0.3">
      <c r="A10" s="305" t="s">
        <v>86</v>
      </c>
      <c r="B10" s="306">
        <f>B9/1000</f>
        <v>0</v>
      </c>
      <c r="C10" s="306">
        <f t="shared" ref="C10:M10" si="3">C9/1000+B10</f>
        <v>0</v>
      </c>
      <c r="D10" s="306">
        <f t="shared" si="3"/>
        <v>0</v>
      </c>
      <c r="E10" s="306">
        <f t="shared" si="3"/>
        <v>0</v>
      </c>
      <c r="F10" s="306">
        <f t="shared" si="3"/>
        <v>0</v>
      </c>
      <c r="G10" s="306">
        <f t="shared" si="3"/>
        <v>0</v>
      </c>
      <c r="H10" s="306">
        <f t="shared" si="3"/>
        <v>0</v>
      </c>
      <c r="I10" s="306">
        <f t="shared" si="3"/>
        <v>0</v>
      </c>
      <c r="J10" s="306">
        <f t="shared" si="3"/>
        <v>0</v>
      </c>
      <c r="K10" s="306">
        <f t="shared" si="3"/>
        <v>0</v>
      </c>
      <c r="L10" s="306">
        <f t="shared" si="3"/>
        <v>0</v>
      </c>
      <c r="M10" s="306">
        <f t="shared" si="3"/>
        <v>0</v>
      </c>
    </row>
    <row r="11" spans="1:13" ht="14.4" customHeight="1" x14ac:dyDescent="0.3">
      <c r="A11" s="301"/>
      <c r="B11" s="301" t="s">
        <v>102</v>
      </c>
      <c r="C11" s="301">
        <f ca="1">IF(MONTH(TODAY())=1,12,MONTH(TODAY())-1)</f>
        <v>12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</row>
    <row r="12" spans="1:13" ht="14.4" customHeight="1" x14ac:dyDescent="0.3">
      <c r="A12" s="301">
        <v>0</v>
      </c>
      <c r="B12" s="304">
        <f>IF(ISERROR(HI!F15),#REF!,HI!F15)</f>
        <v>0.26983222200550999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</row>
    <row r="13" spans="1:13" ht="14.4" customHeight="1" x14ac:dyDescent="0.3">
      <c r="A13" s="301">
        <v>1</v>
      </c>
      <c r="B13" s="304">
        <f>IF(ISERROR(HI!F15),#REF!,HI!F15)</f>
        <v>0.26983222200550999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1" bestFit="1" customWidth="1"/>
    <col min="2" max="2" width="12.77734375" style="231" bestFit="1" customWidth="1"/>
    <col min="3" max="3" width="13.6640625" style="231" bestFit="1" customWidth="1"/>
    <col min="4" max="15" width="7.77734375" style="231" bestFit="1" customWidth="1"/>
    <col min="16" max="16" width="8.88671875" style="231" customWidth="1"/>
    <col min="17" max="17" width="6.6640625" style="231" bestFit="1" customWidth="1"/>
    <col min="18" max="16384" width="8.88671875" style="231"/>
  </cols>
  <sheetData>
    <row r="1" spans="1:17" s="307" customFormat="1" ht="18.600000000000001" customHeight="1" thickBot="1" x14ac:dyDescent="0.4">
      <c r="A1" s="494" t="s">
        <v>299</v>
      </c>
      <c r="B1" s="494"/>
      <c r="C1" s="494"/>
      <c r="D1" s="494"/>
      <c r="E1" s="494"/>
      <c r="F1" s="494"/>
      <c r="G1" s="494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s="307" customFormat="1" ht="14.4" customHeight="1" thickBot="1" x14ac:dyDescent="0.3">
      <c r="A2" s="348" t="s">
        <v>297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7" ht="14.4" customHeight="1" x14ac:dyDescent="0.3">
      <c r="A3" s="92"/>
      <c r="B3" s="495" t="s">
        <v>16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240"/>
      <c r="Q3" s="242"/>
    </row>
    <row r="4" spans="1:17" ht="14.4" customHeight="1" x14ac:dyDescent="0.3">
      <c r="A4" s="93"/>
      <c r="B4" s="24">
        <v>2018</v>
      </c>
      <c r="C4" s="241" t="s">
        <v>17</v>
      </c>
      <c r="D4" s="380" t="s">
        <v>272</v>
      </c>
      <c r="E4" s="380" t="s">
        <v>273</v>
      </c>
      <c r="F4" s="380" t="s">
        <v>274</v>
      </c>
      <c r="G4" s="380" t="s">
        <v>275</v>
      </c>
      <c r="H4" s="380" t="s">
        <v>276</v>
      </c>
      <c r="I4" s="380" t="s">
        <v>277</v>
      </c>
      <c r="J4" s="380" t="s">
        <v>278</v>
      </c>
      <c r="K4" s="380" t="s">
        <v>279</v>
      </c>
      <c r="L4" s="380" t="s">
        <v>280</v>
      </c>
      <c r="M4" s="380" t="s">
        <v>281</v>
      </c>
      <c r="N4" s="380" t="s">
        <v>282</v>
      </c>
      <c r="O4" s="380" t="s">
        <v>283</v>
      </c>
      <c r="P4" s="497" t="s">
        <v>3</v>
      </c>
      <c r="Q4" s="498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69" t="s">
        <v>298</v>
      </c>
    </row>
    <row r="7" spans="1:17" ht="14.4" customHeight="1" x14ac:dyDescent="0.3">
      <c r="A7" s="19" t="s">
        <v>22</v>
      </c>
      <c r="B7" s="55">
        <v>10701.626523524699</v>
      </c>
      <c r="C7" s="56">
        <v>891.80221029372694</v>
      </c>
      <c r="D7" s="56">
        <v>745.75111000000004</v>
      </c>
      <c r="E7" s="56">
        <v>825.33981000000006</v>
      </c>
      <c r="F7" s="56">
        <v>853.79779000000201</v>
      </c>
      <c r="G7" s="56">
        <v>783.02873000000295</v>
      </c>
      <c r="H7" s="56">
        <v>1534.6879300000001</v>
      </c>
      <c r="I7" s="56">
        <v>994.08282999999994</v>
      </c>
      <c r="J7" s="56">
        <v>842.29666999999995</v>
      </c>
      <c r="K7" s="56">
        <v>827.09438999999998</v>
      </c>
      <c r="L7" s="56">
        <v>1018.92101</v>
      </c>
      <c r="M7" s="56">
        <v>1021.42004000001</v>
      </c>
      <c r="N7" s="56">
        <v>880.08340000000101</v>
      </c>
      <c r="O7" s="56">
        <v>641.15581000000304</v>
      </c>
      <c r="P7" s="57">
        <v>10967.659519999999</v>
      </c>
      <c r="Q7" s="170">
        <v>1.024859117993</v>
      </c>
    </row>
    <row r="8" spans="1:17" ht="14.4" customHeight="1" x14ac:dyDescent="0.3">
      <c r="A8" s="19" t="s">
        <v>23</v>
      </c>
      <c r="B8" s="55">
        <v>3571.96082227235</v>
      </c>
      <c r="C8" s="56">
        <v>297.66340185603002</v>
      </c>
      <c r="D8" s="56">
        <v>364.82</v>
      </c>
      <c r="E8" s="56">
        <v>283.47000000000003</v>
      </c>
      <c r="F8" s="56">
        <v>232.48000000000101</v>
      </c>
      <c r="G8" s="56">
        <v>442.95500000000197</v>
      </c>
      <c r="H8" s="56">
        <v>547.15</v>
      </c>
      <c r="I8" s="56">
        <v>431.62</v>
      </c>
      <c r="J8" s="56">
        <v>326.47000000000003</v>
      </c>
      <c r="K8" s="56">
        <v>414.4</v>
      </c>
      <c r="L8" s="56">
        <v>401.35500000000098</v>
      </c>
      <c r="M8" s="56">
        <v>444.48000000000201</v>
      </c>
      <c r="N8" s="56">
        <v>284.10500000000002</v>
      </c>
      <c r="O8" s="56">
        <v>179.280000000001</v>
      </c>
      <c r="P8" s="57">
        <v>4352.58500000001</v>
      </c>
      <c r="Q8" s="170">
        <v>1.2185422003669999</v>
      </c>
    </row>
    <row r="9" spans="1:17" ht="14.4" customHeight="1" x14ac:dyDescent="0.3">
      <c r="A9" s="19" t="s">
        <v>24</v>
      </c>
      <c r="B9" s="55">
        <v>4747.3791907794403</v>
      </c>
      <c r="C9" s="56">
        <v>395.61493256495299</v>
      </c>
      <c r="D9" s="56">
        <v>297.48232000000002</v>
      </c>
      <c r="E9" s="56">
        <v>357.88630000000001</v>
      </c>
      <c r="F9" s="56">
        <v>322.089730000001</v>
      </c>
      <c r="G9" s="56">
        <v>419.92229000000202</v>
      </c>
      <c r="H9" s="56">
        <v>416.06008000000003</v>
      </c>
      <c r="I9" s="56">
        <v>375.32607999999999</v>
      </c>
      <c r="J9" s="56">
        <v>359.68135999999998</v>
      </c>
      <c r="K9" s="56">
        <v>392.83487000000002</v>
      </c>
      <c r="L9" s="56">
        <v>450.89617000000101</v>
      </c>
      <c r="M9" s="56">
        <v>490.10971000000302</v>
      </c>
      <c r="N9" s="56">
        <v>386.33746000000099</v>
      </c>
      <c r="O9" s="56">
        <v>399.12960000000197</v>
      </c>
      <c r="P9" s="57">
        <v>4667.7559700000102</v>
      </c>
      <c r="Q9" s="170">
        <v>0.98322796271799995</v>
      </c>
    </row>
    <row r="10" spans="1:17" ht="14.4" customHeight="1" x14ac:dyDescent="0.3">
      <c r="A10" s="19" t="s">
        <v>25</v>
      </c>
      <c r="B10" s="55">
        <v>80.193184494050001</v>
      </c>
      <c r="C10" s="56">
        <v>6.6827653745040001</v>
      </c>
      <c r="D10" s="56">
        <v>4.9666399999999999</v>
      </c>
      <c r="E10" s="56">
        <v>3.9058899999999999</v>
      </c>
      <c r="F10" s="56">
        <v>5.6171699999999998</v>
      </c>
      <c r="G10" s="56">
        <v>6.9788699999999997</v>
      </c>
      <c r="H10" s="56">
        <v>8.5668299999999995</v>
      </c>
      <c r="I10" s="56">
        <v>4.87134</v>
      </c>
      <c r="J10" s="56">
        <v>8.49526</v>
      </c>
      <c r="K10" s="56">
        <v>8.657</v>
      </c>
      <c r="L10" s="56">
        <v>5.5248699999999999</v>
      </c>
      <c r="M10" s="56">
        <v>7.4424999999999999</v>
      </c>
      <c r="N10" s="56">
        <v>6.7696699999999996</v>
      </c>
      <c r="O10" s="56">
        <v>5.3560999999999996</v>
      </c>
      <c r="P10" s="57">
        <v>77.152140000000003</v>
      </c>
      <c r="Q10" s="170">
        <v>0.96207851685599999</v>
      </c>
    </row>
    <row r="11" spans="1:17" ht="14.4" customHeight="1" x14ac:dyDescent="0.3">
      <c r="A11" s="19" t="s">
        <v>26</v>
      </c>
      <c r="B11" s="55">
        <v>436.207332353987</v>
      </c>
      <c r="C11" s="56">
        <v>36.350611029498999</v>
      </c>
      <c r="D11" s="56">
        <v>42.656170000000003</v>
      </c>
      <c r="E11" s="56">
        <v>33.755609999999997</v>
      </c>
      <c r="F11" s="56">
        <v>20.398129999999998</v>
      </c>
      <c r="G11" s="56">
        <v>48.91384</v>
      </c>
      <c r="H11" s="56">
        <v>36.994549999999997</v>
      </c>
      <c r="I11" s="56">
        <v>40.39349</v>
      </c>
      <c r="J11" s="56">
        <v>37.737749999999998</v>
      </c>
      <c r="K11" s="56">
        <v>49.146659999999997</v>
      </c>
      <c r="L11" s="56">
        <v>42.217269999999999</v>
      </c>
      <c r="M11" s="56">
        <v>30.887149999999998</v>
      </c>
      <c r="N11" s="56">
        <v>47.430010000000003</v>
      </c>
      <c r="O11" s="56">
        <v>42.070230000000002</v>
      </c>
      <c r="P11" s="57">
        <v>472.60086000000098</v>
      </c>
      <c r="Q11" s="170">
        <v>1.0834317191539999</v>
      </c>
    </row>
    <row r="12" spans="1:17" ht="14.4" customHeight="1" x14ac:dyDescent="0.3">
      <c r="A12" s="19" t="s">
        <v>27</v>
      </c>
      <c r="B12" s="55">
        <v>124.962661119213</v>
      </c>
      <c r="C12" s="56">
        <v>10.413555093267</v>
      </c>
      <c r="D12" s="56">
        <v>5.3723999999999998</v>
      </c>
      <c r="E12" s="56">
        <v>0</v>
      </c>
      <c r="F12" s="56">
        <v>0.1019</v>
      </c>
      <c r="G12" s="56">
        <v>5.9290000000000003</v>
      </c>
      <c r="H12" s="56">
        <v>0.76229999999999998</v>
      </c>
      <c r="I12" s="56">
        <v>7.9460000000000003E-2</v>
      </c>
      <c r="J12" s="56">
        <v>45.712009999999999</v>
      </c>
      <c r="K12" s="56">
        <v>1.80613</v>
      </c>
      <c r="L12" s="56">
        <v>7.3380400000000003</v>
      </c>
      <c r="M12" s="56">
        <v>0</v>
      </c>
      <c r="N12" s="56">
        <v>0</v>
      </c>
      <c r="O12" s="56">
        <v>0</v>
      </c>
      <c r="P12" s="57">
        <v>67.101240000000004</v>
      </c>
      <c r="Q12" s="170">
        <v>0.53697031896500003</v>
      </c>
    </row>
    <row r="13" spans="1:17" ht="14.4" customHeight="1" x14ac:dyDescent="0.3">
      <c r="A13" s="19" t="s">
        <v>28</v>
      </c>
      <c r="B13" s="55">
        <v>176.59288535939501</v>
      </c>
      <c r="C13" s="56">
        <v>14.716073779948999</v>
      </c>
      <c r="D13" s="56">
        <v>18.836680000000001</v>
      </c>
      <c r="E13" s="56">
        <v>11.99423</v>
      </c>
      <c r="F13" s="56">
        <v>19.500039999999998</v>
      </c>
      <c r="G13" s="56">
        <v>14.98146</v>
      </c>
      <c r="H13" s="56">
        <v>20.564260000000001</v>
      </c>
      <c r="I13" s="56">
        <v>16.993300000000001</v>
      </c>
      <c r="J13" s="56">
        <v>16.39697</v>
      </c>
      <c r="K13" s="56">
        <v>14.905189999999999</v>
      </c>
      <c r="L13" s="56">
        <v>15.87242</v>
      </c>
      <c r="M13" s="56">
        <v>17.89977</v>
      </c>
      <c r="N13" s="56">
        <v>39.070349999999998</v>
      </c>
      <c r="O13" s="56">
        <v>19.202269999999999</v>
      </c>
      <c r="P13" s="57">
        <v>226.21693999999999</v>
      </c>
      <c r="Q13" s="170">
        <v>1.281008232804</v>
      </c>
    </row>
    <row r="14" spans="1:17" ht="14.4" customHeight="1" x14ac:dyDescent="0.3">
      <c r="A14" s="19" t="s">
        <v>29</v>
      </c>
      <c r="B14" s="55">
        <v>295.03712265117099</v>
      </c>
      <c r="C14" s="56">
        <v>24.586426887597</v>
      </c>
      <c r="D14" s="56">
        <v>33.914999999999999</v>
      </c>
      <c r="E14" s="56">
        <v>32.83</v>
      </c>
      <c r="F14" s="56">
        <v>31.972999999999999</v>
      </c>
      <c r="G14" s="56">
        <v>19.873000000000001</v>
      </c>
      <c r="H14" s="56">
        <v>17.215</v>
      </c>
      <c r="I14" s="56">
        <v>16.481000000000002</v>
      </c>
      <c r="J14" s="56">
        <v>17.655000000000001</v>
      </c>
      <c r="K14" s="56">
        <v>16.931000000000001</v>
      </c>
      <c r="L14" s="56">
        <v>17.422999999999998</v>
      </c>
      <c r="M14" s="56">
        <v>25.337</v>
      </c>
      <c r="N14" s="56">
        <v>28.51</v>
      </c>
      <c r="O14" s="56">
        <v>32.578000000000003</v>
      </c>
      <c r="P14" s="57">
        <v>290.72100000000103</v>
      </c>
      <c r="Q14" s="170">
        <v>0.98537091667499999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0" t="s">
        <v>298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0" t="s">
        <v>298</v>
      </c>
    </row>
    <row r="17" spans="1:17" ht="14.4" customHeight="1" x14ac:dyDescent="0.3">
      <c r="A17" s="19" t="s">
        <v>32</v>
      </c>
      <c r="B17" s="55">
        <v>801.22964200227602</v>
      </c>
      <c r="C17" s="56">
        <v>66.769136833523007</v>
      </c>
      <c r="D17" s="56">
        <v>114.68935</v>
      </c>
      <c r="E17" s="56">
        <v>7.9946599999999997</v>
      </c>
      <c r="F17" s="56">
        <v>72.988380000000006</v>
      </c>
      <c r="G17" s="56">
        <v>27.956</v>
      </c>
      <c r="H17" s="56">
        <v>41.292400000000001</v>
      </c>
      <c r="I17" s="56">
        <v>76.084789999999998</v>
      </c>
      <c r="J17" s="56">
        <v>20.491070000000001</v>
      </c>
      <c r="K17" s="56">
        <v>28.007619999999999</v>
      </c>
      <c r="L17" s="56">
        <v>6.44048</v>
      </c>
      <c r="M17" s="56">
        <v>60.017409999999998</v>
      </c>
      <c r="N17" s="56">
        <v>43.529800000000002</v>
      </c>
      <c r="O17" s="56">
        <v>35.033029999999997</v>
      </c>
      <c r="P17" s="57">
        <v>534.52499000000103</v>
      </c>
      <c r="Q17" s="170">
        <v>0.66713082239900001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</v>
      </c>
      <c r="E18" s="56">
        <v>6.4950000000000001</v>
      </c>
      <c r="F18" s="56">
        <v>7.8E-2</v>
      </c>
      <c r="G18" s="56">
        <v>9.1859999999999999</v>
      </c>
      <c r="H18" s="56">
        <v>0</v>
      </c>
      <c r="I18" s="56">
        <v>6.8179999999999996</v>
      </c>
      <c r="J18" s="56">
        <v>0.55400000000000005</v>
      </c>
      <c r="K18" s="56">
        <v>0</v>
      </c>
      <c r="L18" s="56">
        <v>6.0739999999999998</v>
      </c>
      <c r="M18" s="56">
        <v>5.524</v>
      </c>
      <c r="N18" s="56">
        <v>0</v>
      </c>
      <c r="O18" s="56">
        <v>6.6280000000000001</v>
      </c>
      <c r="P18" s="57">
        <v>41.356999999999999</v>
      </c>
      <c r="Q18" s="170" t="s">
        <v>298</v>
      </c>
    </row>
    <row r="19" spans="1:17" ht="14.4" customHeight="1" x14ac:dyDescent="0.3">
      <c r="A19" s="19" t="s">
        <v>34</v>
      </c>
      <c r="B19" s="55">
        <v>951.50595594593801</v>
      </c>
      <c r="C19" s="56">
        <v>79.292162995493996</v>
      </c>
      <c r="D19" s="56">
        <v>86.511439999999993</v>
      </c>
      <c r="E19" s="56">
        <v>45.055289999999999</v>
      </c>
      <c r="F19" s="56">
        <v>81.05453</v>
      </c>
      <c r="G19" s="56">
        <v>82.332989999999995</v>
      </c>
      <c r="H19" s="56">
        <v>43.531289999999998</v>
      </c>
      <c r="I19" s="56">
        <v>208.86451</v>
      </c>
      <c r="J19" s="56">
        <v>46.75996</v>
      </c>
      <c r="K19" s="56">
        <v>43.830410000000001</v>
      </c>
      <c r="L19" s="56">
        <v>60.214370000000002</v>
      </c>
      <c r="M19" s="56">
        <v>57.693710000000003</v>
      </c>
      <c r="N19" s="56">
        <v>46.57555</v>
      </c>
      <c r="O19" s="56">
        <v>105.07574</v>
      </c>
      <c r="P19" s="57">
        <v>907.49979000000098</v>
      </c>
      <c r="Q19" s="170">
        <v>0.95375103469300004</v>
      </c>
    </row>
    <row r="20" spans="1:17" ht="14.4" customHeight="1" x14ac:dyDescent="0.3">
      <c r="A20" s="19" t="s">
        <v>35</v>
      </c>
      <c r="B20" s="55">
        <v>49393.942529452899</v>
      </c>
      <c r="C20" s="56">
        <v>4116.1618774544104</v>
      </c>
      <c r="D20" s="56">
        <v>4083.5942</v>
      </c>
      <c r="E20" s="56">
        <v>4094.1537800000001</v>
      </c>
      <c r="F20" s="56">
        <v>4105.50047000001</v>
      </c>
      <c r="G20" s="56">
        <v>4529.8652700000202</v>
      </c>
      <c r="H20" s="56">
        <v>4425.2393400000001</v>
      </c>
      <c r="I20" s="56">
        <v>4159.0958700000001</v>
      </c>
      <c r="J20" s="56">
        <v>5577.9773999999998</v>
      </c>
      <c r="K20" s="56">
        <v>4261.8397699999996</v>
      </c>
      <c r="L20" s="56">
        <v>4691.81844000001</v>
      </c>
      <c r="M20" s="56">
        <v>4241.8089400000199</v>
      </c>
      <c r="N20" s="56">
        <v>5364.4759900000099</v>
      </c>
      <c r="O20" s="56">
        <v>4687.4561400000202</v>
      </c>
      <c r="P20" s="57">
        <v>54222.825610000102</v>
      </c>
      <c r="Q20" s="170">
        <v>1.0977626573870001</v>
      </c>
    </row>
    <row r="21" spans="1:17" ht="14.4" customHeight="1" x14ac:dyDescent="0.3">
      <c r="A21" s="20" t="s">
        <v>36</v>
      </c>
      <c r="B21" s="55">
        <v>1843.73394602555</v>
      </c>
      <c r="C21" s="56">
        <v>153.64449550212899</v>
      </c>
      <c r="D21" s="56">
        <v>144.547</v>
      </c>
      <c r="E21" s="56">
        <v>142.273</v>
      </c>
      <c r="F21" s="56">
        <v>138.05600000000001</v>
      </c>
      <c r="G21" s="56">
        <v>139.35500000000101</v>
      </c>
      <c r="H21" s="56">
        <v>138.05600000000001</v>
      </c>
      <c r="I21" s="56">
        <v>141.38999999999999</v>
      </c>
      <c r="J21" s="56">
        <v>138.06</v>
      </c>
      <c r="K21" s="56">
        <v>138.06</v>
      </c>
      <c r="L21" s="56">
        <v>178.41300000000001</v>
      </c>
      <c r="M21" s="56">
        <v>178.41300000000101</v>
      </c>
      <c r="N21" s="56">
        <v>178.41300000000001</v>
      </c>
      <c r="O21" s="56">
        <v>178.41400000000101</v>
      </c>
      <c r="P21" s="57">
        <v>1833.45</v>
      </c>
      <c r="Q21" s="170">
        <v>0.99442221799499997</v>
      </c>
    </row>
    <row r="22" spans="1:17" ht="14.4" customHeight="1" x14ac:dyDescent="0.3">
      <c r="A22" s="19" t="s">
        <v>37</v>
      </c>
      <c r="B22" s="55">
        <v>221</v>
      </c>
      <c r="C22" s="56">
        <v>18.416666666666</v>
      </c>
      <c r="D22" s="56">
        <v>3.0559799999999999</v>
      </c>
      <c r="E22" s="56">
        <v>0</v>
      </c>
      <c r="F22" s="56">
        <v>0</v>
      </c>
      <c r="G22" s="56">
        <v>0</v>
      </c>
      <c r="H22" s="56">
        <v>4.5617000000000001</v>
      </c>
      <c r="I22" s="56">
        <v>0</v>
      </c>
      <c r="J22" s="56">
        <v>0</v>
      </c>
      <c r="K22" s="56">
        <v>0</v>
      </c>
      <c r="L22" s="56">
        <v>5.4450000000000003</v>
      </c>
      <c r="M22" s="56">
        <v>0</v>
      </c>
      <c r="N22" s="56">
        <v>218.88885999999999</v>
      </c>
      <c r="O22" s="56">
        <v>10.85366</v>
      </c>
      <c r="P22" s="57">
        <v>242.80520000000001</v>
      </c>
      <c r="Q22" s="170">
        <v>1.0986660633480001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0" t="s">
        <v>298</v>
      </c>
    </row>
    <row r="24" spans="1:17" ht="14.4" customHeight="1" x14ac:dyDescent="0.3">
      <c r="A24" s="20" t="s">
        <v>39</v>
      </c>
      <c r="B24" s="55">
        <v>6.9868248446140004</v>
      </c>
      <c r="C24" s="56">
        <v>0.582235403717</v>
      </c>
      <c r="D24" s="56">
        <v>0.110899999998</v>
      </c>
      <c r="E24" s="56">
        <v>7.6330499999999999</v>
      </c>
      <c r="F24" s="56">
        <v>-7.0000000050640706E-5</v>
      </c>
      <c r="G24" s="56">
        <v>62.683010000000998</v>
      </c>
      <c r="H24" s="56">
        <v>1.001369999999</v>
      </c>
      <c r="I24" s="56">
        <v>1.9999998585262801E-5</v>
      </c>
      <c r="J24" s="56">
        <v>7.2999999899999997E-4</v>
      </c>
      <c r="K24" s="56">
        <v>14.500219999999</v>
      </c>
      <c r="L24" s="56">
        <v>5.0295899999989997</v>
      </c>
      <c r="M24" s="56">
        <v>-0.58185000000099996</v>
      </c>
      <c r="N24" s="56">
        <v>7.0000000099999999E-4</v>
      </c>
      <c r="O24" s="56">
        <v>4.9516999999999998</v>
      </c>
      <c r="P24" s="57">
        <v>95.329369999996004</v>
      </c>
      <c r="Q24" s="170"/>
    </row>
    <row r="25" spans="1:17" ht="14.4" customHeight="1" x14ac:dyDescent="0.3">
      <c r="A25" s="21" t="s">
        <v>40</v>
      </c>
      <c r="B25" s="58">
        <v>73352.358620825602</v>
      </c>
      <c r="C25" s="59">
        <v>6112.6965517354602</v>
      </c>
      <c r="D25" s="59">
        <v>5946.3091899999999</v>
      </c>
      <c r="E25" s="59">
        <v>5852.7866199999999</v>
      </c>
      <c r="F25" s="59">
        <v>5883.6350700000203</v>
      </c>
      <c r="G25" s="59">
        <v>6593.9604600000303</v>
      </c>
      <c r="H25" s="59">
        <v>7235.6830499999996</v>
      </c>
      <c r="I25" s="59">
        <v>6472.1006900000002</v>
      </c>
      <c r="J25" s="59">
        <v>7438.2881799999996</v>
      </c>
      <c r="K25" s="59">
        <v>6212.0132599999997</v>
      </c>
      <c r="L25" s="59">
        <v>6912.9826600000097</v>
      </c>
      <c r="M25" s="59">
        <v>6580.4513800000304</v>
      </c>
      <c r="N25" s="59">
        <v>7524.1897900000104</v>
      </c>
      <c r="O25" s="59">
        <v>6347.1842800000304</v>
      </c>
      <c r="P25" s="60">
        <v>78999.584630000099</v>
      </c>
      <c r="Q25" s="171">
        <v>1.0769876540479999</v>
      </c>
    </row>
    <row r="26" spans="1:17" ht="14.4" customHeight="1" x14ac:dyDescent="0.3">
      <c r="A26" s="19" t="s">
        <v>41</v>
      </c>
      <c r="B26" s="55">
        <v>6417.9265408253996</v>
      </c>
      <c r="C26" s="56">
        <v>534.82721173544996</v>
      </c>
      <c r="D26" s="56">
        <v>679.17226000000005</v>
      </c>
      <c r="E26" s="56">
        <v>743.85350000000005</v>
      </c>
      <c r="F26" s="56">
        <v>690.22118</v>
      </c>
      <c r="G26" s="56">
        <v>850.04345000000001</v>
      </c>
      <c r="H26" s="56">
        <v>729.24037999999996</v>
      </c>
      <c r="I26" s="56">
        <v>863.30893000000003</v>
      </c>
      <c r="J26" s="56">
        <v>903.57410000000004</v>
      </c>
      <c r="K26" s="56">
        <v>758.99641999999994</v>
      </c>
      <c r="L26" s="56">
        <v>800.88773000000106</v>
      </c>
      <c r="M26" s="56">
        <v>891.43155000000002</v>
      </c>
      <c r="N26" s="56">
        <v>775.52242999999999</v>
      </c>
      <c r="O26" s="56">
        <v>770.84074999999996</v>
      </c>
      <c r="P26" s="57">
        <v>9457.0926799999997</v>
      </c>
      <c r="Q26" s="170">
        <v>1.473543304031</v>
      </c>
    </row>
    <row r="27" spans="1:17" ht="14.4" customHeight="1" x14ac:dyDescent="0.3">
      <c r="A27" s="22" t="s">
        <v>42</v>
      </c>
      <c r="B27" s="58">
        <v>79770.285161651002</v>
      </c>
      <c r="C27" s="59">
        <v>6647.5237634709101</v>
      </c>
      <c r="D27" s="59">
        <v>6625.4814500000002</v>
      </c>
      <c r="E27" s="59">
        <v>6596.64012</v>
      </c>
      <c r="F27" s="59">
        <v>6573.8562500000198</v>
      </c>
      <c r="G27" s="59">
        <v>7444.0039100000304</v>
      </c>
      <c r="H27" s="59">
        <v>7964.9234299999998</v>
      </c>
      <c r="I27" s="59">
        <v>7335.4096200000004</v>
      </c>
      <c r="J27" s="59">
        <v>8341.8622799999994</v>
      </c>
      <c r="K27" s="59">
        <v>6971.0096800000001</v>
      </c>
      <c r="L27" s="59">
        <v>7713.87039000001</v>
      </c>
      <c r="M27" s="59">
        <v>7471.8829300000298</v>
      </c>
      <c r="N27" s="59">
        <v>8299.7122200000103</v>
      </c>
      <c r="O27" s="59">
        <v>7118.0250300000298</v>
      </c>
      <c r="P27" s="60">
        <v>88456.677310000101</v>
      </c>
      <c r="Q27" s="171">
        <v>1.1088925798710001</v>
      </c>
    </row>
    <row r="28" spans="1:17" ht="14.4" customHeight="1" x14ac:dyDescent="0.3">
      <c r="A28" s="20" t="s">
        <v>43</v>
      </c>
      <c r="B28" s="55">
        <v>0</v>
      </c>
      <c r="C28" s="56">
        <v>5.3245978089000001E-2</v>
      </c>
      <c r="D28" s="56">
        <v>8.8999999999999996E-2</v>
      </c>
      <c r="E28" s="56">
        <v>0</v>
      </c>
      <c r="F28" s="56">
        <v>5.6091600000000001</v>
      </c>
      <c r="G28" s="56">
        <v>0</v>
      </c>
      <c r="H28" s="56">
        <v>0.26800000000000002</v>
      </c>
      <c r="I28" s="56">
        <v>0</v>
      </c>
      <c r="J28" s="56">
        <v>0.16858999999999999</v>
      </c>
      <c r="K28" s="56">
        <v>88.915239999999997</v>
      </c>
      <c r="L28" s="56">
        <v>0.22561</v>
      </c>
      <c r="M28" s="56">
        <v>0</v>
      </c>
      <c r="N28" s="56">
        <v>0</v>
      </c>
      <c r="O28" s="56">
        <v>47.602670000000003</v>
      </c>
      <c r="P28" s="57">
        <v>142.87826999999999</v>
      </c>
      <c r="Q28" s="170">
        <v>0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0" t="s">
        <v>298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0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2" t="s">
        <v>298</v>
      </c>
    </row>
    <row r="32" spans="1:17" ht="14.4" customHeight="1" x14ac:dyDescent="0.3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</row>
    <row r="33" spans="1:17" ht="14.4" customHeight="1" x14ac:dyDescent="0.3">
      <c r="A33" s="206" t="s">
        <v>176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</row>
    <row r="34" spans="1:17" ht="14.4" customHeight="1" x14ac:dyDescent="0.3">
      <c r="A34" s="237" t="s">
        <v>296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</row>
    <row r="35" spans="1:17" ht="14.4" customHeight="1" x14ac:dyDescent="0.3">
      <c r="A35" s="238" t="s">
        <v>47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1" customWidth="1"/>
    <col min="2" max="11" width="10" style="231" customWidth="1"/>
    <col min="12" max="16384" width="8.88671875" style="231"/>
  </cols>
  <sheetData>
    <row r="1" spans="1:11" s="64" customFormat="1" ht="18.600000000000001" customHeight="1" thickBot="1" x14ac:dyDescent="0.4">
      <c r="A1" s="494" t="s">
        <v>48</v>
      </c>
      <c r="B1" s="494"/>
      <c r="C1" s="494"/>
      <c r="D1" s="494"/>
      <c r="E1" s="494"/>
      <c r="F1" s="494"/>
      <c r="G1" s="494"/>
      <c r="H1" s="499"/>
      <c r="I1" s="499"/>
      <c r="J1" s="499"/>
      <c r="K1" s="499"/>
    </row>
    <row r="2" spans="1:11" s="64" customFormat="1" ht="14.4" customHeight="1" thickBot="1" x14ac:dyDescent="0.35">
      <c r="A2" s="348" t="s">
        <v>297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95" t="s">
        <v>49</v>
      </c>
      <c r="C3" s="496"/>
      <c r="D3" s="496"/>
      <c r="E3" s="496"/>
      <c r="F3" s="502" t="s">
        <v>50</v>
      </c>
      <c r="G3" s="496"/>
      <c r="H3" s="496"/>
      <c r="I3" s="496"/>
      <c r="J3" s="496"/>
      <c r="K3" s="503"/>
    </row>
    <row r="4" spans="1:11" ht="14.4" customHeight="1" x14ac:dyDescent="0.3">
      <c r="A4" s="93"/>
      <c r="B4" s="500"/>
      <c r="C4" s="501"/>
      <c r="D4" s="501"/>
      <c r="E4" s="501"/>
      <c r="F4" s="504" t="s">
        <v>288</v>
      </c>
      <c r="G4" s="506" t="s">
        <v>51</v>
      </c>
      <c r="H4" s="243" t="s">
        <v>163</v>
      </c>
      <c r="I4" s="504" t="s">
        <v>52</v>
      </c>
      <c r="J4" s="506" t="s">
        <v>290</v>
      </c>
      <c r="K4" s="507" t="s">
        <v>291</v>
      </c>
    </row>
    <row r="5" spans="1:11" ht="42" thickBot="1" x14ac:dyDescent="0.35">
      <c r="A5" s="94"/>
      <c r="B5" s="28" t="s">
        <v>284</v>
      </c>
      <c r="C5" s="29" t="s">
        <v>285</v>
      </c>
      <c r="D5" s="30" t="s">
        <v>286</v>
      </c>
      <c r="E5" s="30" t="s">
        <v>287</v>
      </c>
      <c r="F5" s="505"/>
      <c r="G5" s="505"/>
      <c r="H5" s="29" t="s">
        <v>289</v>
      </c>
      <c r="I5" s="505"/>
      <c r="J5" s="505"/>
      <c r="K5" s="508"/>
    </row>
    <row r="6" spans="1:11" ht="14.4" customHeight="1" thickBot="1" x14ac:dyDescent="0.35">
      <c r="A6" s="666" t="s">
        <v>300</v>
      </c>
      <c r="B6" s="648">
        <v>71831.597253929503</v>
      </c>
      <c r="C6" s="648">
        <v>72085.34663</v>
      </c>
      <c r="D6" s="649">
        <v>253.74937607048199</v>
      </c>
      <c r="E6" s="650">
        <v>1.003532559288</v>
      </c>
      <c r="F6" s="648">
        <v>73352.358620825602</v>
      </c>
      <c r="G6" s="649">
        <v>73352.358620825602</v>
      </c>
      <c r="H6" s="651">
        <v>6347.1842800000304</v>
      </c>
      <c r="I6" s="648">
        <v>78999.584630000099</v>
      </c>
      <c r="J6" s="649">
        <v>5647.2260091745602</v>
      </c>
      <c r="K6" s="652">
        <v>1.0769876540479999</v>
      </c>
    </row>
    <row r="7" spans="1:11" ht="14.4" customHeight="1" thickBot="1" x14ac:dyDescent="0.35">
      <c r="A7" s="667" t="s">
        <v>301</v>
      </c>
      <c r="B7" s="648">
        <v>24283.146071606399</v>
      </c>
      <c r="C7" s="648">
        <v>20331.708579999999</v>
      </c>
      <c r="D7" s="649">
        <v>-3951.4374916063598</v>
      </c>
      <c r="E7" s="650">
        <v>0.83727654234100002</v>
      </c>
      <c r="F7" s="648">
        <v>20133.9597225543</v>
      </c>
      <c r="G7" s="649">
        <v>20133.9597225543</v>
      </c>
      <c r="H7" s="651">
        <v>1318.77171000001</v>
      </c>
      <c r="I7" s="648">
        <v>21121.801039999998</v>
      </c>
      <c r="J7" s="649">
        <v>987.84131744570197</v>
      </c>
      <c r="K7" s="652">
        <v>1.049063439634</v>
      </c>
    </row>
    <row r="8" spans="1:11" ht="14.4" customHeight="1" thickBot="1" x14ac:dyDescent="0.35">
      <c r="A8" s="668" t="s">
        <v>302</v>
      </c>
      <c r="B8" s="648">
        <v>23980.894118301101</v>
      </c>
      <c r="C8" s="648">
        <v>20034.186580000001</v>
      </c>
      <c r="D8" s="649">
        <v>-3946.7075383010701</v>
      </c>
      <c r="E8" s="650">
        <v>0.83542283624400004</v>
      </c>
      <c r="F8" s="648">
        <v>19838.922599903199</v>
      </c>
      <c r="G8" s="649">
        <v>19838.922599903199</v>
      </c>
      <c r="H8" s="651">
        <v>1286.19371000001</v>
      </c>
      <c r="I8" s="648">
        <v>20831.080040000001</v>
      </c>
      <c r="J8" s="649">
        <v>992.15744009687103</v>
      </c>
      <c r="K8" s="652">
        <v>1.050010651289</v>
      </c>
    </row>
    <row r="9" spans="1:11" ht="14.4" customHeight="1" thickBot="1" x14ac:dyDescent="0.35">
      <c r="A9" s="669" t="s">
        <v>303</v>
      </c>
      <c r="B9" s="653">
        <v>0</v>
      </c>
      <c r="C9" s="653">
        <v>9.7800000000000005E-3</v>
      </c>
      <c r="D9" s="654">
        <v>9.7800000000000005E-3</v>
      </c>
      <c r="E9" s="655" t="s">
        <v>298</v>
      </c>
      <c r="F9" s="653">
        <v>0</v>
      </c>
      <c r="G9" s="654">
        <v>0</v>
      </c>
      <c r="H9" s="656">
        <v>-2.9999999999999997E-4</v>
      </c>
      <c r="I9" s="653">
        <v>8.3700000000000007E-3</v>
      </c>
      <c r="J9" s="654">
        <v>8.3700000000000007E-3</v>
      </c>
      <c r="K9" s="657" t="s">
        <v>298</v>
      </c>
    </row>
    <row r="10" spans="1:11" ht="14.4" customHeight="1" thickBot="1" x14ac:dyDescent="0.35">
      <c r="A10" s="670" t="s">
        <v>304</v>
      </c>
      <c r="B10" s="648">
        <v>0</v>
      </c>
      <c r="C10" s="648">
        <v>9.7800000000000005E-3</v>
      </c>
      <c r="D10" s="649">
        <v>9.7800000000000005E-3</v>
      </c>
      <c r="E10" s="658" t="s">
        <v>298</v>
      </c>
      <c r="F10" s="648">
        <v>0</v>
      </c>
      <c r="G10" s="649">
        <v>0</v>
      </c>
      <c r="H10" s="651">
        <v>-2.9999999999999997E-4</v>
      </c>
      <c r="I10" s="648">
        <v>8.3700000000000007E-3</v>
      </c>
      <c r="J10" s="649">
        <v>8.3700000000000007E-3</v>
      </c>
      <c r="K10" s="659" t="s">
        <v>298</v>
      </c>
    </row>
    <row r="11" spans="1:11" ht="14.4" customHeight="1" thickBot="1" x14ac:dyDescent="0.35">
      <c r="A11" s="669" t="s">
        <v>305</v>
      </c>
      <c r="B11" s="653">
        <v>11842.4208802791</v>
      </c>
      <c r="C11" s="653">
        <v>10842.02096</v>
      </c>
      <c r="D11" s="654">
        <v>-1000.39992027911</v>
      </c>
      <c r="E11" s="660">
        <v>0.91552403597200005</v>
      </c>
      <c r="F11" s="653">
        <v>10701.626523524699</v>
      </c>
      <c r="G11" s="654">
        <v>10701.626523524699</v>
      </c>
      <c r="H11" s="656">
        <v>641.15581000000304</v>
      </c>
      <c r="I11" s="653">
        <v>10967.659519999999</v>
      </c>
      <c r="J11" s="654">
        <v>266.03299647529298</v>
      </c>
      <c r="K11" s="661">
        <v>1.024859117993</v>
      </c>
    </row>
    <row r="12" spans="1:11" ht="14.4" customHeight="1" thickBot="1" x14ac:dyDescent="0.35">
      <c r="A12" s="670" t="s">
        <v>306</v>
      </c>
      <c r="B12" s="648">
        <v>4732.03702298386</v>
      </c>
      <c r="C12" s="648">
        <v>4339.4065499999997</v>
      </c>
      <c r="D12" s="649">
        <v>-392.63047298386402</v>
      </c>
      <c r="E12" s="650">
        <v>0.91702717643999998</v>
      </c>
      <c r="F12" s="648">
        <v>4481.7273152226398</v>
      </c>
      <c r="G12" s="649">
        <v>4481.7273152226398</v>
      </c>
      <c r="H12" s="651">
        <v>366.19159000000201</v>
      </c>
      <c r="I12" s="648">
        <v>4853.2888300000104</v>
      </c>
      <c r="J12" s="649">
        <v>371.56151477736898</v>
      </c>
      <c r="K12" s="652">
        <v>1.082905872812</v>
      </c>
    </row>
    <row r="13" spans="1:11" ht="14.4" customHeight="1" thickBot="1" x14ac:dyDescent="0.35">
      <c r="A13" s="670" t="s">
        <v>307</v>
      </c>
      <c r="B13" s="648">
        <v>1749.6952657913</v>
      </c>
      <c r="C13" s="648">
        <v>1814.7946400000001</v>
      </c>
      <c r="D13" s="649">
        <v>65.099374208699999</v>
      </c>
      <c r="E13" s="650">
        <v>1.037206121249</v>
      </c>
      <c r="F13" s="648">
        <v>1945.0702333996201</v>
      </c>
      <c r="G13" s="649">
        <v>1945.0702333996201</v>
      </c>
      <c r="H13" s="651">
        <v>144.93409000000099</v>
      </c>
      <c r="I13" s="648">
        <v>2177.9508500000002</v>
      </c>
      <c r="J13" s="649">
        <v>232.88061660038599</v>
      </c>
      <c r="K13" s="652">
        <v>1.1197286414650001</v>
      </c>
    </row>
    <row r="14" spans="1:11" ht="14.4" customHeight="1" thickBot="1" x14ac:dyDescent="0.35">
      <c r="A14" s="670" t="s">
        <v>308</v>
      </c>
      <c r="B14" s="648">
        <v>260.022059268514</v>
      </c>
      <c r="C14" s="648">
        <v>258.12396999999999</v>
      </c>
      <c r="D14" s="649">
        <v>-1.898089268513</v>
      </c>
      <c r="E14" s="650">
        <v>0.99270027599199995</v>
      </c>
      <c r="F14" s="648">
        <v>205.078410466317</v>
      </c>
      <c r="G14" s="649">
        <v>205.078410466317</v>
      </c>
      <c r="H14" s="651">
        <v>28.956019999999999</v>
      </c>
      <c r="I14" s="648">
        <v>161.52025</v>
      </c>
      <c r="J14" s="649">
        <v>-43.558160466315996</v>
      </c>
      <c r="K14" s="652">
        <v>0.787602408428</v>
      </c>
    </row>
    <row r="15" spans="1:11" ht="14.4" customHeight="1" thickBot="1" x14ac:dyDescent="0.35">
      <c r="A15" s="670" t="s">
        <v>309</v>
      </c>
      <c r="B15" s="648">
        <v>2000</v>
      </c>
      <c r="C15" s="648">
        <v>1498.71415</v>
      </c>
      <c r="D15" s="649">
        <v>-501.28585000000101</v>
      </c>
      <c r="E15" s="650">
        <v>0.74935707500000004</v>
      </c>
      <c r="F15" s="648">
        <v>1360</v>
      </c>
      <c r="G15" s="649">
        <v>1360</v>
      </c>
      <c r="H15" s="651">
        <v>51.618540000000003</v>
      </c>
      <c r="I15" s="648">
        <v>1442.8764000000001</v>
      </c>
      <c r="J15" s="649">
        <v>82.876400000001993</v>
      </c>
      <c r="K15" s="652">
        <v>1.0609385294110001</v>
      </c>
    </row>
    <row r="16" spans="1:11" ht="14.4" customHeight="1" thickBot="1" x14ac:dyDescent="0.35">
      <c r="A16" s="670" t="s">
        <v>310</v>
      </c>
      <c r="B16" s="648">
        <v>440</v>
      </c>
      <c r="C16" s="648">
        <v>458.3236</v>
      </c>
      <c r="D16" s="649">
        <v>18.323599999999001</v>
      </c>
      <c r="E16" s="650">
        <v>1.041644545454</v>
      </c>
      <c r="F16" s="648">
        <v>160</v>
      </c>
      <c r="G16" s="649">
        <v>160</v>
      </c>
      <c r="H16" s="651">
        <v>0</v>
      </c>
      <c r="I16" s="648">
        <v>26.18638</v>
      </c>
      <c r="J16" s="649">
        <v>-133.81361999999999</v>
      </c>
      <c r="K16" s="652">
        <v>0.16366487499999999</v>
      </c>
    </row>
    <row r="17" spans="1:11" ht="14.4" customHeight="1" thickBot="1" x14ac:dyDescent="0.35">
      <c r="A17" s="670" t="s">
        <v>311</v>
      </c>
      <c r="B17" s="648">
        <v>1460.8156791537399</v>
      </c>
      <c r="C17" s="648">
        <v>1809.7616399999999</v>
      </c>
      <c r="D17" s="649">
        <v>348.94596084626301</v>
      </c>
      <c r="E17" s="650">
        <v>1.2388706294880001</v>
      </c>
      <c r="F17" s="648">
        <v>1949.8014375682101</v>
      </c>
      <c r="G17" s="649">
        <v>1949.8014375682101</v>
      </c>
      <c r="H17" s="651">
        <v>40.822920000000003</v>
      </c>
      <c r="I17" s="648">
        <v>1762.2655199999999</v>
      </c>
      <c r="J17" s="649">
        <v>-187.53591756820401</v>
      </c>
      <c r="K17" s="652">
        <v>0.90381794065999999</v>
      </c>
    </row>
    <row r="18" spans="1:11" ht="14.4" customHeight="1" thickBot="1" x14ac:dyDescent="0.35">
      <c r="A18" s="670" t="s">
        <v>312</v>
      </c>
      <c r="B18" s="648">
        <v>1069.54991183213</v>
      </c>
      <c r="C18" s="648">
        <v>533.79881</v>
      </c>
      <c r="D18" s="649">
        <v>-535.75110183213405</v>
      </c>
      <c r="E18" s="650">
        <v>0.499087330188</v>
      </c>
      <c r="F18" s="648">
        <v>469.94912686794402</v>
      </c>
      <c r="G18" s="649">
        <v>469.94912686794402</v>
      </c>
      <c r="H18" s="651">
        <v>0.97570000000000001</v>
      </c>
      <c r="I18" s="648">
        <v>401.10640000000097</v>
      </c>
      <c r="J18" s="649">
        <v>-68.842726867943</v>
      </c>
      <c r="K18" s="652">
        <v>0.85351025689299997</v>
      </c>
    </row>
    <row r="19" spans="1:11" ht="14.4" customHeight="1" thickBot="1" x14ac:dyDescent="0.35">
      <c r="A19" s="670" t="s">
        <v>313</v>
      </c>
      <c r="B19" s="648">
        <v>130.30094124956</v>
      </c>
      <c r="C19" s="648">
        <v>129.0976</v>
      </c>
      <c r="D19" s="649">
        <v>-1.20334124956</v>
      </c>
      <c r="E19" s="650">
        <v>0.99076490746699997</v>
      </c>
      <c r="F19" s="648">
        <v>130</v>
      </c>
      <c r="G19" s="649">
        <v>130</v>
      </c>
      <c r="H19" s="651">
        <v>7.6569500000000001</v>
      </c>
      <c r="I19" s="648">
        <v>142.46489</v>
      </c>
      <c r="J19" s="649">
        <v>12.46489</v>
      </c>
      <c r="K19" s="652">
        <v>1.0958837692300001</v>
      </c>
    </row>
    <row r="20" spans="1:11" ht="14.4" customHeight="1" thickBot="1" x14ac:dyDescent="0.35">
      <c r="A20" s="669" t="s">
        <v>314</v>
      </c>
      <c r="B20" s="653">
        <v>6052.8870346389103</v>
      </c>
      <c r="C20" s="653">
        <v>3834.2730000000001</v>
      </c>
      <c r="D20" s="654">
        <v>-2218.6140346389102</v>
      </c>
      <c r="E20" s="660">
        <v>0.633461846893</v>
      </c>
      <c r="F20" s="653">
        <v>3571.96082227235</v>
      </c>
      <c r="G20" s="654">
        <v>3571.96082227235</v>
      </c>
      <c r="H20" s="656">
        <v>179.280000000001</v>
      </c>
      <c r="I20" s="653">
        <v>4352.58500000001</v>
      </c>
      <c r="J20" s="654">
        <v>780.62417772765195</v>
      </c>
      <c r="K20" s="661">
        <v>1.2185422003669999</v>
      </c>
    </row>
    <row r="21" spans="1:11" ht="14.4" customHeight="1" thickBot="1" x14ac:dyDescent="0.35">
      <c r="A21" s="670" t="s">
        <v>315</v>
      </c>
      <c r="B21" s="648">
        <v>5357.5821639421902</v>
      </c>
      <c r="C21" s="648">
        <v>3525.415</v>
      </c>
      <c r="D21" s="649">
        <v>-1832.16716394219</v>
      </c>
      <c r="E21" s="650">
        <v>0.65802350614899996</v>
      </c>
      <c r="F21" s="648">
        <v>3325.7114896776502</v>
      </c>
      <c r="G21" s="649">
        <v>3325.7114896776502</v>
      </c>
      <c r="H21" s="651">
        <v>166.66000000000099</v>
      </c>
      <c r="I21" s="648">
        <v>3965.3050000000098</v>
      </c>
      <c r="J21" s="649">
        <v>639.59351032235702</v>
      </c>
      <c r="K21" s="652">
        <v>1.192317797953</v>
      </c>
    </row>
    <row r="22" spans="1:11" ht="14.4" customHeight="1" thickBot="1" x14ac:dyDescent="0.35">
      <c r="A22" s="670" t="s">
        <v>316</v>
      </c>
      <c r="B22" s="648">
        <v>695.30487069672199</v>
      </c>
      <c r="C22" s="648">
        <v>308.858</v>
      </c>
      <c r="D22" s="649">
        <v>-386.44687069672199</v>
      </c>
      <c r="E22" s="650">
        <v>0.44420514369500003</v>
      </c>
      <c r="F22" s="648">
        <v>246.24933259470501</v>
      </c>
      <c r="G22" s="649">
        <v>246.24933259470501</v>
      </c>
      <c r="H22" s="651">
        <v>12.62</v>
      </c>
      <c r="I22" s="648">
        <v>387.280000000001</v>
      </c>
      <c r="J22" s="649">
        <v>141.03066740529599</v>
      </c>
      <c r="K22" s="652">
        <v>1.5727149223879999</v>
      </c>
    </row>
    <row r="23" spans="1:11" ht="14.4" customHeight="1" thickBot="1" x14ac:dyDescent="0.35">
      <c r="A23" s="669" t="s">
        <v>317</v>
      </c>
      <c r="B23" s="653">
        <v>4997.3657316012705</v>
      </c>
      <c r="C23" s="653">
        <v>4410.99838</v>
      </c>
      <c r="D23" s="654">
        <v>-586.367351601265</v>
      </c>
      <c r="E23" s="660">
        <v>0.88266471115099998</v>
      </c>
      <c r="F23" s="653">
        <v>4747.3791907794403</v>
      </c>
      <c r="G23" s="654">
        <v>4747.3791907794403</v>
      </c>
      <c r="H23" s="656">
        <v>399.12960000000197</v>
      </c>
      <c r="I23" s="653">
        <v>4667.7559700000102</v>
      </c>
      <c r="J23" s="654">
        <v>-79.623220779430994</v>
      </c>
      <c r="K23" s="661">
        <v>0.98322796271799995</v>
      </c>
    </row>
    <row r="24" spans="1:11" ht="14.4" customHeight="1" thickBot="1" x14ac:dyDescent="0.35">
      <c r="A24" s="670" t="s">
        <v>318</v>
      </c>
      <c r="B24" s="648">
        <v>520.37806580690403</v>
      </c>
      <c r="C24" s="648">
        <v>483.67182000000003</v>
      </c>
      <c r="D24" s="649">
        <v>-36.706245806904001</v>
      </c>
      <c r="E24" s="650">
        <v>0.92946235012800005</v>
      </c>
      <c r="F24" s="648">
        <v>500</v>
      </c>
      <c r="G24" s="649">
        <v>500</v>
      </c>
      <c r="H24" s="651">
        <v>48.50553</v>
      </c>
      <c r="I24" s="648">
        <v>469.35457000000099</v>
      </c>
      <c r="J24" s="649">
        <v>-30.645429999998001</v>
      </c>
      <c r="K24" s="652">
        <v>0.93870914000000005</v>
      </c>
    </row>
    <row r="25" spans="1:11" ht="14.4" customHeight="1" thickBot="1" x14ac:dyDescent="0.35">
      <c r="A25" s="670" t="s">
        <v>319</v>
      </c>
      <c r="B25" s="648">
        <v>1</v>
      </c>
      <c r="C25" s="648">
        <v>0.76831000000000005</v>
      </c>
      <c r="D25" s="649">
        <v>-0.231689999999</v>
      </c>
      <c r="E25" s="650">
        <v>0.76831000000000005</v>
      </c>
      <c r="F25" s="648">
        <v>1</v>
      </c>
      <c r="G25" s="649">
        <v>1</v>
      </c>
      <c r="H25" s="651">
        <v>0</v>
      </c>
      <c r="I25" s="648">
        <v>0.44219000000000003</v>
      </c>
      <c r="J25" s="649">
        <v>-0.55781000000000003</v>
      </c>
      <c r="K25" s="652">
        <v>0.44219000000000003</v>
      </c>
    </row>
    <row r="26" spans="1:11" ht="14.4" customHeight="1" thickBot="1" x14ac:dyDescent="0.35">
      <c r="A26" s="670" t="s">
        <v>320</v>
      </c>
      <c r="B26" s="648">
        <v>556.35228309926299</v>
      </c>
      <c r="C26" s="648">
        <v>423.44695000000002</v>
      </c>
      <c r="D26" s="649">
        <v>-132.905333099263</v>
      </c>
      <c r="E26" s="650">
        <v>0.76111299056899995</v>
      </c>
      <c r="F26" s="648">
        <v>500</v>
      </c>
      <c r="G26" s="649">
        <v>500</v>
      </c>
      <c r="H26" s="651">
        <v>32.366770000000002</v>
      </c>
      <c r="I26" s="648">
        <v>500.160110000001</v>
      </c>
      <c r="J26" s="649">
        <v>0.16011000000100001</v>
      </c>
      <c r="K26" s="652">
        <v>1.0003202200000001</v>
      </c>
    </row>
    <row r="27" spans="1:11" ht="14.4" customHeight="1" thickBot="1" x14ac:dyDescent="0.35">
      <c r="A27" s="670" t="s">
        <v>321</v>
      </c>
      <c r="B27" s="648">
        <v>2765.2847697694101</v>
      </c>
      <c r="C27" s="648">
        <v>2648.7423399999998</v>
      </c>
      <c r="D27" s="649">
        <v>-116.542429769408</v>
      </c>
      <c r="E27" s="650">
        <v>0.95785517967400002</v>
      </c>
      <c r="F27" s="648">
        <v>2750</v>
      </c>
      <c r="G27" s="649">
        <v>2750</v>
      </c>
      <c r="H27" s="651">
        <v>232.59712000000101</v>
      </c>
      <c r="I27" s="648">
        <v>2819.49804000001</v>
      </c>
      <c r="J27" s="649">
        <v>69.498040000005005</v>
      </c>
      <c r="K27" s="652">
        <v>1.0252720145450001</v>
      </c>
    </row>
    <row r="28" spans="1:11" ht="14.4" customHeight="1" thickBot="1" x14ac:dyDescent="0.35">
      <c r="A28" s="670" t="s">
        <v>322</v>
      </c>
      <c r="B28" s="648">
        <v>205.20152863258801</v>
      </c>
      <c r="C28" s="648">
        <v>187.33112</v>
      </c>
      <c r="D28" s="649">
        <v>-17.870408632587001</v>
      </c>
      <c r="E28" s="650">
        <v>0.91291288738599996</v>
      </c>
      <c r="F28" s="648">
        <v>200</v>
      </c>
      <c r="G28" s="649">
        <v>200</v>
      </c>
      <c r="H28" s="651">
        <v>13.671799999999999</v>
      </c>
      <c r="I28" s="648">
        <v>143.65316999999999</v>
      </c>
      <c r="J28" s="649">
        <v>-56.346829999999002</v>
      </c>
      <c r="K28" s="652">
        <v>0.71826584999999998</v>
      </c>
    </row>
    <row r="29" spans="1:11" ht="14.4" customHeight="1" thickBot="1" x14ac:dyDescent="0.35">
      <c r="A29" s="670" t="s">
        <v>323</v>
      </c>
      <c r="B29" s="648">
        <v>30.451505057039</v>
      </c>
      <c r="C29" s="648">
        <v>20.584779999999999</v>
      </c>
      <c r="D29" s="649">
        <v>-9.8667250570389999</v>
      </c>
      <c r="E29" s="650">
        <v>0.67598563556799995</v>
      </c>
      <c r="F29" s="648">
        <v>20</v>
      </c>
      <c r="G29" s="649">
        <v>20</v>
      </c>
      <c r="H29" s="651">
        <v>0.72748999999999997</v>
      </c>
      <c r="I29" s="648">
        <v>16.133610000000001</v>
      </c>
      <c r="J29" s="649">
        <v>-3.8663899999989999</v>
      </c>
      <c r="K29" s="652">
        <v>0.80668050000000002</v>
      </c>
    </row>
    <row r="30" spans="1:11" ht="14.4" customHeight="1" thickBot="1" x14ac:dyDescent="0.35">
      <c r="A30" s="670" t="s">
        <v>324</v>
      </c>
      <c r="B30" s="648">
        <v>60.262671133044996</v>
      </c>
      <c r="C30" s="648">
        <v>26.305240000000001</v>
      </c>
      <c r="D30" s="649">
        <v>-33.957431133044999</v>
      </c>
      <c r="E30" s="650">
        <v>0.43650969174400001</v>
      </c>
      <c r="F30" s="648">
        <v>40</v>
      </c>
      <c r="G30" s="649">
        <v>40</v>
      </c>
      <c r="H30" s="651">
        <v>2.3180000000000001</v>
      </c>
      <c r="I30" s="648">
        <v>29.267720000000001</v>
      </c>
      <c r="J30" s="649">
        <v>-10.732279999999999</v>
      </c>
      <c r="K30" s="652">
        <v>0.73169300000000004</v>
      </c>
    </row>
    <row r="31" spans="1:11" ht="14.4" customHeight="1" thickBot="1" x14ac:dyDescent="0.35">
      <c r="A31" s="670" t="s">
        <v>325</v>
      </c>
      <c r="B31" s="648">
        <v>364.76608864449503</v>
      </c>
      <c r="C31" s="648">
        <v>225.77780000000001</v>
      </c>
      <c r="D31" s="649">
        <v>-138.98828864449499</v>
      </c>
      <c r="E31" s="650">
        <v>0.61896598129199998</v>
      </c>
      <c r="F31" s="648">
        <v>276</v>
      </c>
      <c r="G31" s="649">
        <v>276</v>
      </c>
      <c r="H31" s="651">
        <v>25.904</v>
      </c>
      <c r="I31" s="648">
        <v>220.77875</v>
      </c>
      <c r="J31" s="649">
        <v>-55.221249999999003</v>
      </c>
      <c r="K31" s="652">
        <v>0.79992300724599996</v>
      </c>
    </row>
    <row r="32" spans="1:11" ht="14.4" customHeight="1" thickBot="1" x14ac:dyDescent="0.35">
      <c r="A32" s="670" t="s">
        <v>326</v>
      </c>
      <c r="B32" s="648">
        <v>209.93351122917301</v>
      </c>
      <c r="C32" s="648">
        <v>181.68794</v>
      </c>
      <c r="D32" s="649">
        <v>-28.245571229172999</v>
      </c>
      <c r="E32" s="650">
        <v>0.86545468103699996</v>
      </c>
      <c r="F32" s="648">
        <v>194</v>
      </c>
      <c r="G32" s="649">
        <v>194</v>
      </c>
      <c r="H32" s="651">
        <v>12.7964</v>
      </c>
      <c r="I32" s="648">
        <v>189.83266</v>
      </c>
      <c r="J32" s="649">
        <v>-4.1673399999990002</v>
      </c>
      <c r="K32" s="652">
        <v>0.97851886597899995</v>
      </c>
    </row>
    <row r="33" spans="1:11" ht="14.4" customHeight="1" thickBot="1" x14ac:dyDescent="0.35">
      <c r="A33" s="670" t="s">
        <v>327</v>
      </c>
      <c r="B33" s="648">
        <v>275.04118619689899</v>
      </c>
      <c r="C33" s="648">
        <v>212.30967999999999</v>
      </c>
      <c r="D33" s="649">
        <v>-62.731506196898003</v>
      </c>
      <c r="E33" s="650">
        <v>0.77191959115499997</v>
      </c>
      <c r="F33" s="648">
        <v>250</v>
      </c>
      <c r="G33" s="649">
        <v>250</v>
      </c>
      <c r="H33" s="651">
        <v>23.199439999999999</v>
      </c>
      <c r="I33" s="648">
        <v>240.64796999999999</v>
      </c>
      <c r="J33" s="649">
        <v>-9.3520299999990009</v>
      </c>
      <c r="K33" s="652">
        <v>0.96259187999999996</v>
      </c>
    </row>
    <row r="34" spans="1:11" ht="14.4" customHeight="1" thickBot="1" x14ac:dyDescent="0.35">
      <c r="A34" s="670" t="s">
        <v>328</v>
      </c>
      <c r="B34" s="648">
        <v>0</v>
      </c>
      <c r="C34" s="648">
        <v>0</v>
      </c>
      <c r="D34" s="649">
        <v>0</v>
      </c>
      <c r="E34" s="650">
        <v>1</v>
      </c>
      <c r="F34" s="648">
        <v>16</v>
      </c>
      <c r="G34" s="649">
        <v>16</v>
      </c>
      <c r="H34" s="651">
        <v>7.04305</v>
      </c>
      <c r="I34" s="648">
        <v>37.987180000000002</v>
      </c>
      <c r="J34" s="649">
        <v>21.987179999999999</v>
      </c>
      <c r="K34" s="652">
        <v>2.3741987500000001</v>
      </c>
    </row>
    <row r="35" spans="1:11" ht="14.4" customHeight="1" thickBot="1" x14ac:dyDescent="0.35">
      <c r="A35" s="670" t="s">
        <v>329</v>
      </c>
      <c r="B35" s="648">
        <v>8.6941220324510002</v>
      </c>
      <c r="C35" s="648">
        <v>0.37240000000000001</v>
      </c>
      <c r="D35" s="649">
        <v>-8.3217220324509995</v>
      </c>
      <c r="E35" s="650">
        <v>4.2833537257000003E-2</v>
      </c>
      <c r="F35" s="648">
        <v>0.37919077943899998</v>
      </c>
      <c r="G35" s="649">
        <v>0.37919077943899998</v>
      </c>
      <c r="H35" s="651">
        <v>0</v>
      </c>
      <c r="I35" s="648">
        <v>0</v>
      </c>
      <c r="J35" s="649">
        <v>-0.37919077943899998</v>
      </c>
      <c r="K35" s="652">
        <v>0</v>
      </c>
    </row>
    <row r="36" spans="1:11" ht="14.4" customHeight="1" thickBot="1" x14ac:dyDescent="0.35">
      <c r="A36" s="669" t="s">
        <v>330</v>
      </c>
      <c r="B36" s="653">
        <v>66.321911945281997</v>
      </c>
      <c r="C36" s="653">
        <v>79.150120000000001</v>
      </c>
      <c r="D36" s="654">
        <v>12.828208054717001</v>
      </c>
      <c r="E36" s="660">
        <v>1.193423375147</v>
      </c>
      <c r="F36" s="653">
        <v>80.193184494050001</v>
      </c>
      <c r="G36" s="654">
        <v>80.193184494050001</v>
      </c>
      <c r="H36" s="656">
        <v>5.3560999999999996</v>
      </c>
      <c r="I36" s="653">
        <v>77.152140000000003</v>
      </c>
      <c r="J36" s="654">
        <v>-3.0410444940489998</v>
      </c>
      <c r="K36" s="661">
        <v>0.96207851685599999</v>
      </c>
    </row>
    <row r="37" spans="1:11" ht="14.4" customHeight="1" thickBot="1" x14ac:dyDescent="0.35">
      <c r="A37" s="670" t="s">
        <v>331</v>
      </c>
      <c r="B37" s="648">
        <v>59.227171949540001</v>
      </c>
      <c r="C37" s="648">
        <v>49.54618</v>
      </c>
      <c r="D37" s="649">
        <v>-9.6809919495399992</v>
      </c>
      <c r="E37" s="650">
        <v>0.83654475419100005</v>
      </c>
      <c r="F37" s="648">
        <v>49.359791425628998</v>
      </c>
      <c r="G37" s="649">
        <v>49.359791425628998</v>
      </c>
      <c r="H37" s="651">
        <v>3.1082999999999998</v>
      </c>
      <c r="I37" s="648">
        <v>43.245930000000001</v>
      </c>
      <c r="J37" s="649">
        <v>-6.1138614256280004</v>
      </c>
      <c r="K37" s="652">
        <v>0.876136805909</v>
      </c>
    </row>
    <row r="38" spans="1:11" ht="14.4" customHeight="1" thickBot="1" x14ac:dyDescent="0.35">
      <c r="A38" s="670" t="s">
        <v>332</v>
      </c>
      <c r="B38" s="648">
        <v>7.0947399957409996</v>
      </c>
      <c r="C38" s="648">
        <v>29.603940000000001</v>
      </c>
      <c r="D38" s="649">
        <v>22.509200004257998</v>
      </c>
      <c r="E38" s="650">
        <v>4.1726603114090004</v>
      </c>
      <c r="F38" s="648">
        <v>30.833393068421</v>
      </c>
      <c r="G38" s="649">
        <v>30.833393068421</v>
      </c>
      <c r="H38" s="651">
        <v>2.2477999999999998</v>
      </c>
      <c r="I38" s="648">
        <v>33.906210000000002</v>
      </c>
      <c r="J38" s="649">
        <v>3.0728169315790002</v>
      </c>
      <c r="K38" s="652">
        <v>1.099658734436</v>
      </c>
    </row>
    <row r="39" spans="1:11" ht="14.4" customHeight="1" thickBot="1" x14ac:dyDescent="0.35">
      <c r="A39" s="669" t="s">
        <v>333</v>
      </c>
      <c r="B39" s="653">
        <v>482.40369210129899</v>
      </c>
      <c r="C39" s="653">
        <v>540.77338999999995</v>
      </c>
      <c r="D39" s="654">
        <v>58.369697898700998</v>
      </c>
      <c r="E39" s="660">
        <v>1.1209976184970001</v>
      </c>
      <c r="F39" s="653">
        <v>436.207332353987</v>
      </c>
      <c r="G39" s="654">
        <v>436.207332353987</v>
      </c>
      <c r="H39" s="656">
        <v>42.070230000000002</v>
      </c>
      <c r="I39" s="653">
        <v>472.60086000000098</v>
      </c>
      <c r="J39" s="654">
        <v>36.393527646012998</v>
      </c>
      <c r="K39" s="661">
        <v>1.0834317191539999</v>
      </c>
    </row>
    <row r="40" spans="1:11" ht="14.4" customHeight="1" thickBot="1" x14ac:dyDescent="0.35">
      <c r="A40" s="670" t="s">
        <v>334</v>
      </c>
      <c r="B40" s="648">
        <v>0</v>
      </c>
      <c r="C40" s="648">
        <v>77.530600000000007</v>
      </c>
      <c r="D40" s="649">
        <v>77.530600000000007</v>
      </c>
      <c r="E40" s="658" t="s">
        <v>298</v>
      </c>
      <c r="F40" s="648">
        <v>0</v>
      </c>
      <c r="G40" s="649">
        <v>0</v>
      </c>
      <c r="H40" s="651">
        <v>0</v>
      </c>
      <c r="I40" s="648">
        <v>12.972530000000001</v>
      </c>
      <c r="J40" s="649">
        <v>12.972530000000001</v>
      </c>
      <c r="K40" s="659" t="s">
        <v>298</v>
      </c>
    </row>
    <row r="41" spans="1:11" ht="14.4" customHeight="1" thickBot="1" x14ac:dyDescent="0.35">
      <c r="A41" s="670" t="s">
        <v>335</v>
      </c>
      <c r="B41" s="648">
        <v>118</v>
      </c>
      <c r="C41" s="648">
        <v>49.705880000000001</v>
      </c>
      <c r="D41" s="649">
        <v>-68.294120000000007</v>
      </c>
      <c r="E41" s="650">
        <v>0.42123627118599999</v>
      </c>
      <c r="F41" s="648">
        <v>60</v>
      </c>
      <c r="G41" s="649">
        <v>60</v>
      </c>
      <c r="H41" s="651">
        <v>5.3345900000000004</v>
      </c>
      <c r="I41" s="648">
        <v>49.656689999999998</v>
      </c>
      <c r="J41" s="649">
        <v>-10.343309999999001</v>
      </c>
      <c r="K41" s="652">
        <v>0.82761150000000006</v>
      </c>
    </row>
    <row r="42" spans="1:11" ht="14.4" customHeight="1" thickBot="1" x14ac:dyDescent="0.35">
      <c r="A42" s="670" t="s">
        <v>336</v>
      </c>
      <c r="B42" s="648">
        <v>199.04881379336899</v>
      </c>
      <c r="C42" s="648">
        <v>214.80898999999999</v>
      </c>
      <c r="D42" s="649">
        <v>15.76017620663</v>
      </c>
      <c r="E42" s="650">
        <v>1.0791774434929999</v>
      </c>
      <c r="F42" s="648">
        <v>212.55024263124201</v>
      </c>
      <c r="G42" s="649">
        <v>212.55024263124201</v>
      </c>
      <c r="H42" s="651">
        <v>9.2918800000000008</v>
      </c>
      <c r="I42" s="648">
        <v>197.83964</v>
      </c>
      <c r="J42" s="649">
        <v>-14.710602631241001</v>
      </c>
      <c r="K42" s="652">
        <v>0.93078999840599996</v>
      </c>
    </row>
    <row r="43" spans="1:11" ht="14.4" customHeight="1" thickBot="1" x14ac:dyDescent="0.35">
      <c r="A43" s="670" t="s">
        <v>337</v>
      </c>
      <c r="B43" s="648">
        <v>50</v>
      </c>
      <c r="C43" s="648">
        <v>56.064999999999998</v>
      </c>
      <c r="D43" s="649">
        <v>6.0649999999990003</v>
      </c>
      <c r="E43" s="650">
        <v>1.1213</v>
      </c>
      <c r="F43" s="648">
        <v>55</v>
      </c>
      <c r="G43" s="649">
        <v>55</v>
      </c>
      <c r="H43" s="651">
        <v>5.9080599999999999</v>
      </c>
      <c r="I43" s="648">
        <v>52.6648</v>
      </c>
      <c r="J43" s="649">
        <v>-2.3351999999989999</v>
      </c>
      <c r="K43" s="652">
        <v>0.95754181818100004</v>
      </c>
    </row>
    <row r="44" spans="1:11" ht="14.4" customHeight="1" thickBot="1" x14ac:dyDescent="0.35">
      <c r="A44" s="670" t="s">
        <v>338</v>
      </c>
      <c r="B44" s="648">
        <v>12.480089223275</v>
      </c>
      <c r="C44" s="648">
        <v>3.6673399999999998</v>
      </c>
      <c r="D44" s="649">
        <v>-8.8127492232750004</v>
      </c>
      <c r="E44" s="650">
        <v>0.29385527093500002</v>
      </c>
      <c r="F44" s="648">
        <v>1.3543374226010001</v>
      </c>
      <c r="G44" s="649">
        <v>1.3543374226010001</v>
      </c>
      <c r="H44" s="651">
        <v>0</v>
      </c>
      <c r="I44" s="648">
        <v>2.0556700000000001</v>
      </c>
      <c r="J44" s="649">
        <v>0.70133257739800003</v>
      </c>
      <c r="K44" s="652">
        <v>1.5178418359370001</v>
      </c>
    </row>
    <row r="45" spans="1:11" ht="14.4" customHeight="1" thickBot="1" x14ac:dyDescent="0.35">
      <c r="A45" s="670" t="s">
        <v>339</v>
      </c>
      <c r="B45" s="648">
        <v>0</v>
      </c>
      <c r="C45" s="648">
        <v>2.7849999999000001E-2</v>
      </c>
      <c r="D45" s="649">
        <v>2.7849999999000001E-2</v>
      </c>
      <c r="E45" s="658" t="s">
        <v>340</v>
      </c>
      <c r="F45" s="648">
        <v>4.8132409233000002E-2</v>
      </c>
      <c r="G45" s="649">
        <v>4.8132409233000002E-2</v>
      </c>
      <c r="H45" s="651">
        <v>0</v>
      </c>
      <c r="I45" s="648">
        <v>0.20932000000000001</v>
      </c>
      <c r="J45" s="649">
        <v>0.16118759076600001</v>
      </c>
      <c r="K45" s="652">
        <v>4.3488369548529997</v>
      </c>
    </row>
    <row r="46" spans="1:11" ht="14.4" customHeight="1" thickBot="1" x14ac:dyDescent="0.35">
      <c r="A46" s="670" t="s">
        <v>341</v>
      </c>
      <c r="B46" s="648">
        <v>0</v>
      </c>
      <c r="C46" s="648">
        <v>16.991070000000001</v>
      </c>
      <c r="D46" s="649">
        <v>16.991070000000001</v>
      </c>
      <c r="E46" s="658" t="s">
        <v>298</v>
      </c>
      <c r="F46" s="648">
        <v>0</v>
      </c>
      <c r="G46" s="649">
        <v>0</v>
      </c>
      <c r="H46" s="651">
        <v>1.18506</v>
      </c>
      <c r="I46" s="648">
        <v>14.810499999999999</v>
      </c>
      <c r="J46" s="649">
        <v>14.810499999999999</v>
      </c>
      <c r="K46" s="659" t="s">
        <v>298</v>
      </c>
    </row>
    <row r="47" spans="1:11" ht="14.4" customHeight="1" thickBot="1" x14ac:dyDescent="0.35">
      <c r="A47" s="670" t="s">
        <v>342</v>
      </c>
      <c r="B47" s="648">
        <v>11</v>
      </c>
      <c r="C47" s="648">
        <v>0</v>
      </c>
      <c r="D47" s="649">
        <v>-11</v>
      </c>
      <c r="E47" s="650">
        <v>0</v>
      </c>
      <c r="F47" s="648">
        <v>0</v>
      </c>
      <c r="G47" s="649">
        <v>0</v>
      </c>
      <c r="H47" s="651">
        <v>0</v>
      </c>
      <c r="I47" s="648">
        <v>3.3999999999999998E-3</v>
      </c>
      <c r="J47" s="649">
        <v>3.3999999999999998E-3</v>
      </c>
      <c r="K47" s="659" t="s">
        <v>340</v>
      </c>
    </row>
    <row r="48" spans="1:11" ht="14.4" customHeight="1" thickBot="1" x14ac:dyDescent="0.35">
      <c r="A48" s="670" t="s">
        <v>343</v>
      </c>
      <c r="B48" s="648">
        <v>16.874789084652999</v>
      </c>
      <c r="C48" s="648">
        <v>20.953720000000001</v>
      </c>
      <c r="D48" s="649">
        <v>4.0789309153459996</v>
      </c>
      <c r="E48" s="650">
        <v>1.241717445763</v>
      </c>
      <c r="F48" s="648">
        <v>22.254619890910998</v>
      </c>
      <c r="G48" s="649">
        <v>22.254619890910998</v>
      </c>
      <c r="H48" s="651">
        <v>5.93161</v>
      </c>
      <c r="I48" s="648">
        <v>33.125990000000002</v>
      </c>
      <c r="J48" s="649">
        <v>10.871370109088</v>
      </c>
      <c r="K48" s="652">
        <v>1.4884994739240001</v>
      </c>
    </row>
    <row r="49" spans="1:11" ht="14.4" customHeight="1" thickBot="1" x14ac:dyDescent="0.35">
      <c r="A49" s="670" t="s">
        <v>344</v>
      </c>
      <c r="B49" s="648">
        <v>0</v>
      </c>
      <c r="C49" s="648">
        <v>3.5760000000000001</v>
      </c>
      <c r="D49" s="649">
        <v>3.5760000000000001</v>
      </c>
      <c r="E49" s="658" t="s">
        <v>298</v>
      </c>
      <c r="F49" s="648">
        <v>0</v>
      </c>
      <c r="G49" s="649">
        <v>0</v>
      </c>
      <c r="H49" s="651">
        <v>0</v>
      </c>
      <c r="I49" s="648">
        <v>7.3459099999999999</v>
      </c>
      <c r="J49" s="649">
        <v>7.3459099999999999</v>
      </c>
      <c r="K49" s="659" t="s">
        <v>298</v>
      </c>
    </row>
    <row r="50" spans="1:11" ht="14.4" customHeight="1" thickBot="1" x14ac:dyDescent="0.35">
      <c r="A50" s="670" t="s">
        <v>345</v>
      </c>
      <c r="B50" s="648">
        <v>75</v>
      </c>
      <c r="C50" s="648">
        <v>97.446939999999998</v>
      </c>
      <c r="D50" s="649">
        <v>22.446940000000001</v>
      </c>
      <c r="E50" s="650">
        <v>1.2992925333330001</v>
      </c>
      <c r="F50" s="648">
        <v>85</v>
      </c>
      <c r="G50" s="649">
        <v>85</v>
      </c>
      <c r="H50" s="651">
        <v>14.419029999999999</v>
      </c>
      <c r="I50" s="648">
        <v>101.91641</v>
      </c>
      <c r="J50" s="649">
        <v>16.916409999999999</v>
      </c>
      <c r="K50" s="652">
        <v>1.1990165882349999</v>
      </c>
    </row>
    <row r="51" spans="1:11" ht="14.4" customHeight="1" thickBot="1" x14ac:dyDescent="0.35">
      <c r="A51" s="669" t="s">
        <v>346</v>
      </c>
      <c r="B51" s="653">
        <v>260.93503331185599</v>
      </c>
      <c r="C51" s="653">
        <v>126.65325</v>
      </c>
      <c r="D51" s="654">
        <v>-134.281783311856</v>
      </c>
      <c r="E51" s="660">
        <v>0.48538231295500001</v>
      </c>
      <c r="F51" s="653">
        <v>124.962661119213</v>
      </c>
      <c r="G51" s="654">
        <v>124.962661119213</v>
      </c>
      <c r="H51" s="656">
        <v>0</v>
      </c>
      <c r="I51" s="653">
        <v>67.101240000000004</v>
      </c>
      <c r="J51" s="654">
        <v>-57.861421119211997</v>
      </c>
      <c r="K51" s="661">
        <v>0.53697031896500003</v>
      </c>
    </row>
    <row r="52" spans="1:11" ht="14.4" customHeight="1" thickBot="1" x14ac:dyDescent="0.35">
      <c r="A52" s="670" t="s">
        <v>347</v>
      </c>
      <c r="B52" s="648">
        <v>24.480147409762001</v>
      </c>
      <c r="C52" s="648">
        <v>15.8994</v>
      </c>
      <c r="D52" s="649">
        <v>-8.5807474097619991</v>
      </c>
      <c r="E52" s="650">
        <v>0.64948138317399995</v>
      </c>
      <c r="F52" s="648">
        <v>14.735671025966001</v>
      </c>
      <c r="G52" s="649">
        <v>14.735671025966001</v>
      </c>
      <c r="H52" s="651">
        <v>0</v>
      </c>
      <c r="I52" s="648">
        <v>6.5388400000000004</v>
      </c>
      <c r="J52" s="649">
        <v>-8.1968310259660004</v>
      </c>
      <c r="K52" s="652">
        <v>0.443742262464</v>
      </c>
    </row>
    <row r="53" spans="1:11" ht="14.4" customHeight="1" thickBot="1" x14ac:dyDescent="0.35">
      <c r="A53" s="670" t="s">
        <v>348</v>
      </c>
      <c r="B53" s="648">
        <v>228.02309124639601</v>
      </c>
      <c r="C53" s="648">
        <v>107.99679999999999</v>
      </c>
      <c r="D53" s="649">
        <v>-120.026291246396</v>
      </c>
      <c r="E53" s="650">
        <v>0.47362220821399997</v>
      </c>
      <c r="F53" s="648">
        <v>105.903990629117</v>
      </c>
      <c r="G53" s="649">
        <v>105.903990629117</v>
      </c>
      <c r="H53" s="651">
        <v>0</v>
      </c>
      <c r="I53" s="648">
        <v>54.904409999999999</v>
      </c>
      <c r="J53" s="649">
        <v>-50.999580629115997</v>
      </c>
      <c r="K53" s="652">
        <v>0.51843570458300003</v>
      </c>
    </row>
    <row r="54" spans="1:11" ht="14.4" customHeight="1" thickBot="1" x14ac:dyDescent="0.35">
      <c r="A54" s="670" t="s">
        <v>349</v>
      </c>
      <c r="B54" s="648">
        <v>0</v>
      </c>
      <c r="C54" s="648">
        <v>0</v>
      </c>
      <c r="D54" s="649">
        <v>0</v>
      </c>
      <c r="E54" s="650">
        <v>1</v>
      </c>
      <c r="F54" s="648">
        <v>0</v>
      </c>
      <c r="G54" s="649">
        <v>0</v>
      </c>
      <c r="H54" s="651">
        <v>0</v>
      </c>
      <c r="I54" s="648">
        <v>0.76229999999999998</v>
      </c>
      <c r="J54" s="649">
        <v>0.76229999999999998</v>
      </c>
      <c r="K54" s="659" t="s">
        <v>340</v>
      </c>
    </row>
    <row r="55" spans="1:11" ht="14.4" customHeight="1" thickBot="1" x14ac:dyDescent="0.35">
      <c r="A55" s="670" t="s">
        <v>350</v>
      </c>
      <c r="B55" s="648">
        <v>8.4317946556980008</v>
      </c>
      <c r="C55" s="648">
        <v>2.75705</v>
      </c>
      <c r="D55" s="649">
        <v>-5.6747446556980004</v>
      </c>
      <c r="E55" s="650">
        <v>0.32698258349199999</v>
      </c>
      <c r="F55" s="648">
        <v>4.3229994641290004</v>
      </c>
      <c r="G55" s="649">
        <v>4.3229994641290004</v>
      </c>
      <c r="H55" s="651">
        <v>0</v>
      </c>
      <c r="I55" s="648">
        <v>4.8956900000000001</v>
      </c>
      <c r="J55" s="649">
        <v>0.57269053586999996</v>
      </c>
      <c r="K55" s="652">
        <v>1.1324752733879999</v>
      </c>
    </row>
    <row r="56" spans="1:11" ht="14.4" customHeight="1" thickBot="1" x14ac:dyDescent="0.35">
      <c r="A56" s="669" t="s">
        <v>351</v>
      </c>
      <c r="B56" s="653">
        <v>278.55983442335997</v>
      </c>
      <c r="C56" s="653">
        <v>200.30770000000001</v>
      </c>
      <c r="D56" s="654">
        <v>-78.252134423360005</v>
      </c>
      <c r="E56" s="660">
        <v>0.71908321030699995</v>
      </c>
      <c r="F56" s="653">
        <v>176.59288535939501</v>
      </c>
      <c r="G56" s="654">
        <v>176.59288535939501</v>
      </c>
      <c r="H56" s="656">
        <v>19.202269999999999</v>
      </c>
      <c r="I56" s="653">
        <v>226.21693999999999</v>
      </c>
      <c r="J56" s="654">
        <v>49.624054640605003</v>
      </c>
      <c r="K56" s="661">
        <v>1.281008232804</v>
      </c>
    </row>
    <row r="57" spans="1:11" ht="14.4" customHeight="1" thickBot="1" x14ac:dyDescent="0.35">
      <c r="A57" s="670" t="s">
        <v>352</v>
      </c>
      <c r="B57" s="648">
        <v>20</v>
      </c>
      <c r="C57" s="648">
        <v>22.43329</v>
      </c>
      <c r="D57" s="649">
        <v>2.4332899999989999</v>
      </c>
      <c r="E57" s="650">
        <v>1.1216645000000001</v>
      </c>
      <c r="F57" s="648">
        <v>0</v>
      </c>
      <c r="G57" s="649">
        <v>0</v>
      </c>
      <c r="H57" s="651">
        <v>0</v>
      </c>
      <c r="I57" s="648">
        <v>9.0969300000000004</v>
      </c>
      <c r="J57" s="649">
        <v>9.0969300000000004</v>
      </c>
      <c r="K57" s="659" t="s">
        <v>298</v>
      </c>
    </row>
    <row r="58" spans="1:11" ht="14.4" customHeight="1" thickBot="1" x14ac:dyDescent="0.35">
      <c r="A58" s="670" t="s">
        <v>353</v>
      </c>
      <c r="B58" s="648">
        <v>10</v>
      </c>
      <c r="C58" s="648">
        <v>14.83455</v>
      </c>
      <c r="D58" s="649">
        <v>4.834549999999</v>
      </c>
      <c r="E58" s="650">
        <v>1.483455</v>
      </c>
      <c r="F58" s="648">
        <v>16.592885359395002</v>
      </c>
      <c r="G58" s="649">
        <v>16.592885359395002</v>
      </c>
      <c r="H58" s="651">
        <v>1.0018800000000001</v>
      </c>
      <c r="I58" s="648">
        <v>48.197270000000003</v>
      </c>
      <c r="J58" s="649">
        <v>31.604384640604</v>
      </c>
      <c r="K58" s="652">
        <v>2.9046949313549999</v>
      </c>
    </row>
    <row r="59" spans="1:11" ht="14.4" customHeight="1" thickBot="1" x14ac:dyDescent="0.35">
      <c r="A59" s="670" t="s">
        <v>354</v>
      </c>
      <c r="B59" s="648">
        <v>0</v>
      </c>
      <c r="C59" s="648">
        <v>5.8624499999999999</v>
      </c>
      <c r="D59" s="649">
        <v>5.8624499999999999</v>
      </c>
      <c r="E59" s="658" t="s">
        <v>298</v>
      </c>
      <c r="F59" s="648">
        <v>0</v>
      </c>
      <c r="G59" s="649">
        <v>0</v>
      </c>
      <c r="H59" s="651">
        <v>0.41382000000000002</v>
      </c>
      <c r="I59" s="648">
        <v>2.8677000000000001</v>
      </c>
      <c r="J59" s="649">
        <v>2.8677000000000001</v>
      </c>
      <c r="K59" s="659" t="s">
        <v>298</v>
      </c>
    </row>
    <row r="60" spans="1:11" ht="14.4" customHeight="1" thickBot="1" x14ac:dyDescent="0.35">
      <c r="A60" s="670" t="s">
        <v>355</v>
      </c>
      <c r="B60" s="648">
        <v>0</v>
      </c>
      <c r="C60" s="648">
        <v>0</v>
      </c>
      <c r="D60" s="649">
        <v>0</v>
      </c>
      <c r="E60" s="658" t="s">
        <v>298</v>
      </c>
      <c r="F60" s="648">
        <v>0</v>
      </c>
      <c r="G60" s="649">
        <v>0</v>
      </c>
      <c r="H60" s="651">
        <v>0</v>
      </c>
      <c r="I60" s="648">
        <v>6.0890000000000004</v>
      </c>
      <c r="J60" s="649">
        <v>6.0890000000000004</v>
      </c>
      <c r="K60" s="659" t="s">
        <v>340</v>
      </c>
    </row>
    <row r="61" spans="1:11" ht="14.4" customHeight="1" thickBot="1" x14ac:dyDescent="0.35">
      <c r="A61" s="670" t="s">
        <v>356</v>
      </c>
      <c r="B61" s="648">
        <v>73.734175836877</v>
      </c>
      <c r="C61" s="648">
        <v>33.889710000000001</v>
      </c>
      <c r="D61" s="649">
        <v>-39.844465836876999</v>
      </c>
      <c r="E61" s="650">
        <v>0.45962010987899998</v>
      </c>
      <c r="F61" s="648">
        <v>35</v>
      </c>
      <c r="G61" s="649">
        <v>35</v>
      </c>
      <c r="H61" s="651">
        <v>3.5996600000000001</v>
      </c>
      <c r="I61" s="648">
        <v>34.654029999999999</v>
      </c>
      <c r="J61" s="649">
        <v>-0.34596999999900002</v>
      </c>
      <c r="K61" s="652">
        <v>0.99011514285699997</v>
      </c>
    </row>
    <row r="62" spans="1:11" ht="14.4" customHeight="1" thickBot="1" x14ac:dyDescent="0.35">
      <c r="A62" s="670" t="s">
        <v>357</v>
      </c>
      <c r="B62" s="648">
        <v>59.825658586482</v>
      </c>
      <c r="C62" s="648">
        <v>14.643370000000001</v>
      </c>
      <c r="D62" s="649">
        <v>-45.182288586482002</v>
      </c>
      <c r="E62" s="650">
        <v>0.24476738486399999</v>
      </c>
      <c r="F62" s="648">
        <v>5</v>
      </c>
      <c r="G62" s="649">
        <v>5</v>
      </c>
      <c r="H62" s="651">
        <v>3.8940199999999998</v>
      </c>
      <c r="I62" s="648">
        <v>14.074120000000001</v>
      </c>
      <c r="J62" s="649">
        <v>9.0741200000000006</v>
      </c>
      <c r="K62" s="652">
        <v>2.8148240000000002</v>
      </c>
    </row>
    <row r="63" spans="1:11" ht="14.4" customHeight="1" thickBot="1" x14ac:dyDescent="0.35">
      <c r="A63" s="670" t="s">
        <v>358</v>
      </c>
      <c r="B63" s="648">
        <v>115</v>
      </c>
      <c r="C63" s="648">
        <v>108.64433</v>
      </c>
      <c r="D63" s="649">
        <v>-6.3556699999999999</v>
      </c>
      <c r="E63" s="650">
        <v>0.94473330434699998</v>
      </c>
      <c r="F63" s="648">
        <v>120</v>
      </c>
      <c r="G63" s="649">
        <v>120</v>
      </c>
      <c r="H63" s="651">
        <v>10.29289</v>
      </c>
      <c r="I63" s="648">
        <v>111.23788999999999</v>
      </c>
      <c r="J63" s="649">
        <v>-8.7621099999989998</v>
      </c>
      <c r="K63" s="652">
        <v>0.92698241666600001</v>
      </c>
    </row>
    <row r="64" spans="1:11" ht="14.4" customHeight="1" thickBot="1" x14ac:dyDescent="0.35">
      <c r="A64" s="668" t="s">
        <v>29</v>
      </c>
      <c r="B64" s="648">
        <v>302.25195330528999</v>
      </c>
      <c r="C64" s="648">
        <v>297.52199999999999</v>
      </c>
      <c r="D64" s="649">
        <v>-4.7299533052890004</v>
      </c>
      <c r="E64" s="650">
        <v>0.98435095868300004</v>
      </c>
      <c r="F64" s="648">
        <v>295.03712265117099</v>
      </c>
      <c r="G64" s="649">
        <v>295.03712265117099</v>
      </c>
      <c r="H64" s="651">
        <v>32.578000000000003</v>
      </c>
      <c r="I64" s="648">
        <v>290.72100000000103</v>
      </c>
      <c r="J64" s="649">
        <v>-4.3161226511699997</v>
      </c>
      <c r="K64" s="652">
        <v>0.98537091667499999</v>
      </c>
    </row>
    <row r="65" spans="1:11" ht="14.4" customHeight="1" thickBot="1" x14ac:dyDescent="0.35">
      <c r="A65" s="669" t="s">
        <v>359</v>
      </c>
      <c r="B65" s="653">
        <v>302.25195330528999</v>
      </c>
      <c r="C65" s="653">
        <v>297.52199999999999</v>
      </c>
      <c r="D65" s="654">
        <v>-4.7299533052890004</v>
      </c>
      <c r="E65" s="660">
        <v>0.98435095868300004</v>
      </c>
      <c r="F65" s="653">
        <v>295.03712265117099</v>
      </c>
      <c r="G65" s="654">
        <v>295.03712265117099</v>
      </c>
      <c r="H65" s="656">
        <v>32.578000000000003</v>
      </c>
      <c r="I65" s="653">
        <v>290.72100000000103</v>
      </c>
      <c r="J65" s="654">
        <v>-4.3161226511699997</v>
      </c>
      <c r="K65" s="661">
        <v>0.98537091667499999</v>
      </c>
    </row>
    <row r="66" spans="1:11" ht="14.4" customHeight="1" thickBot="1" x14ac:dyDescent="0.35">
      <c r="A66" s="670" t="s">
        <v>360</v>
      </c>
      <c r="B66" s="648">
        <v>97.999999999999005</v>
      </c>
      <c r="C66" s="648">
        <v>99.936999999999998</v>
      </c>
      <c r="D66" s="649">
        <v>1.9370000000000001</v>
      </c>
      <c r="E66" s="650">
        <v>1.019765306122</v>
      </c>
      <c r="F66" s="648">
        <v>98.797110811156998</v>
      </c>
      <c r="G66" s="649">
        <v>98.797110811156998</v>
      </c>
      <c r="H66" s="651">
        <v>8.5359999999999996</v>
      </c>
      <c r="I66" s="648">
        <v>102.946</v>
      </c>
      <c r="J66" s="649">
        <v>4.1488891888420003</v>
      </c>
      <c r="K66" s="652">
        <v>1.041994033578</v>
      </c>
    </row>
    <row r="67" spans="1:11" ht="14.4" customHeight="1" thickBot="1" x14ac:dyDescent="0.35">
      <c r="A67" s="670" t="s">
        <v>361</v>
      </c>
      <c r="B67" s="648">
        <v>29.251953305290002</v>
      </c>
      <c r="C67" s="648">
        <v>26.594000000000001</v>
      </c>
      <c r="D67" s="649">
        <v>-2.65795330529</v>
      </c>
      <c r="E67" s="650">
        <v>0.90913586940500002</v>
      </c>
      <c r="F67" s="648">
        <v>28.278693789117</v>
      </c>
      <c r="G67" s="649">
        <v>28.278693789117</v>
      </c>
      <c r="H67" s="651">
        <v>1.702</v>
      </c>
      <c r="I67" s="648">
        <v>29.597000000000001</v>
      </c>
      <c r="J67" s="649">
        <v>1.3183062108820001</v>
      </c>
      <c r="K67" s="652">
        <v>1.0466183558790001</v>
      </c>
    </row>
    <row r="68" spans="1:11" ht="14.4" customHeight="1" thickBot="1" x14ac:dyDescent="0.35">
      <c r="A68" s="670" t="s">
        <v>362</v>
      </c>
      <c r="B68" s="648">
        <v>174.99999999999901</v>
      </c>
      <c r="C68" s="648">
        <v>170.99100000000001</v>
      </c>
      <c r="D68" s="649">
        <v>-4.0089999999990003</v>
      </c>
      <c r="E68" s="650">
        <v>0.97709142857099995</v>
      </c>
      <c r="F68" s="648">
        <v>167.96131805089601</v>
      </c>
      <c r="G68" s="649">
        <v>167.96131805089601</v>
      </c>
      <c r="H68" s="651">
        <v>22.34</v>
      </c>
      <c r="I68" s="648">
        <v>158.178</v>
      </c>
      <c r="J68" s="649">
        <v>-9.7833180508949997</v>
      </c>
      <c r="K68" s="652">
        <v>0.94175255252500001</v>
      </c>
    </row>
    <row r="69" spans="1:11" ht="14.4" customHeight="1" thickBot="1" x14ac:dyDescent="0.35">
      <c r="A69" s="671" t="s">
        <v>363</v>
      </c>
      <c r="B69" s="653">
        <v>1726.4511823231501</v>
      </c>
      <c r="C69" s="653">
        <v>1941.97939</v>
      </c>
      <c r="D69" s="654">
        <v>215.52820767684699</v>
      </c>
      <c r="E69" s="660">
        <v>1.1248388659249999</v>
      </c>
      <c r="F69" s="653">
        <v>1752.7355979482099</v>
      </c>
      <c r="G69" s="654">
        <v>1752.7355979482099</v>
      </c>
      <c r="H69" s="656">
        <v>146.736770000001</v>
      </c>
      <c r="I69" s="653">
        <v>1483.3817799999999</v>
      </c>
      <c r="J69" s="654">
        <v>-269.353817948212</v>
      </c>
      <c r="K69" s="661">
        <v>0.84632375912000002</v>
      </c>
    </row>
    <row r="70" spans="1:11" ht="14.4" customHeight="1" thickBot="1" x14ac:dyDescent="0.35">
      <c r="A70" s="668" t="s">
        <v>32</v>
      </c>
      <c r="B70" s="648">
        <v>746.73813139167498</v>
      </c>
      <c r="C70" s="648">
        <v>843.51908000000003</v>
      </c>
      <c r="D70" s="649">
        <v>96.780948608323996</v>
      </c>
      <c r="E70" s="650">
        <v>1.129604937179</v>
      </c>
      <c r="F70" s="648">
        <v>801.22964200227602</v>
      </c>
      <c r="G70" s="649">
        <v>801.22964200227602</v>
      </c>
      <c r="H70" s="651">
        <v>35.033029999999997</v>
      </c>
      <c r="I70" s="648">
        <v>534.52499000000103</v>
      </c>
      <c r="J70" s="649">
        <v>-266.704652002275</v>
      </c>
      <c r="K70" s="652">
        <v>0.66713082239900001</v>
      </c>
    </row>
    <row r="71" spans="1:11" ht="14.4" customHeight="1" thickBot="1" x14ac:dyDescent="0.35">
      <c r="A71" s="672" t="s">
        <v>364</v>
      </c>
      <c r="B71" s="648">
        <v>746.73813139167498</v>
      </c>
      <c r="C71" s="648">
        <v>843.51908000000003</v>
      </c>
      <c r="D71" s="649">
        <v>96.780948608323996</v>
      </c>
      <c r="E71" s="650">
        <v>1.129604937179</v>
      </c>
      <c r="F71" s="648">
        <v>801.22964200227602</v>
      </c>
      <c r="G71" s="649">
        <v>801.22964200227602</v>
      </c>
      <c r="H71" s="651">
        <v>35.033029999999997</v>
      </c>
      <c r="I71" s="648">
        <v>534.52499000000103</v>
      </c>
      <c r="J71" s="649">
        <v>-266.704652002275</v>
      </c>
      <c r="K71" s="652">
        <v>0.66713082239900001</v>
      </c>
    </row>
    <row r="72" spans="1:11" ht="14.4" customHeight="1" thickBot="1" x14ac:dyDescent="0.35">
      <c r="A72" s="670" t="s">
        <v>365</v>
      </c>
      <c r="B72" s="648">
        <v>612.73151418735301</v>
      </c>
      <c r="C72" s="648">
        <v>725.95955000000004</v>
      </c>
      <c r="D72" s="649">
        <v>113.22803581264699</v>
      </c>
      <c r="E72" s="650">
        <v>1.1847922510769999</v>
      </c>
      <c r="F72" s="648">
        <v>668.42520937205995</v>
      </c>
      <c r="G72" s="649">
        <v>668.42520937205995</v>
      </c>
      <c r="H72" s="651">
        <v>33.603029999999997</v>
      </c>
      <c r="I72" s="648">
        <v>428.66193000000101</v>
      </c>
      <c r="J72" s="649">
        <v>-239.763279372059</v>
      </c>
      <c r="K72" s="652">
        <v>0.64130126151599998</v>
      </c>
    </row>
    <row r="73" spans="1:11" ht="14.4" customHeight="1" thickBot="1" x14ac:dyDescent="0.35">
      <c r="A73" s="670" t="s">
        <v>366</v>
      </c>
      <c r="B73" s="648">
        <v>3.782589646425</v>
      </c>
      <c r="C73" s="648">
        <v>14.96705</v>
      </c>
      <c r="D73" s="649">
        <v>11.184460353574</v>
      </c>
      <c r="E73" s="650">
        <v>3.9568262484250001</v>
      </c>
      <c r="F73" s="648">
        <v>12.503461181756</v>
      </c>
      <c r="G73" s="649">
        <v>12.503461181756</v>
      </c>
      <c r="H73" s="651">
        <v>0.23594999999999999</v>
      </c>
      <c r="I73" s="648">
        <v>13.94434</v>
      </c>
      <c r="J73" s="649">
        <v>1.4408788182429999</v>
      </c>
      <c r="K73" s="652">
        <v>1.115238396576</v>
      </c>
    </row>
    <row r="74" spans="1:11" ht="14.4" customHeight="1" thickBot="1" x14ac:dyDescent="0.35">
      <c r="A74" s="670" t="s">
        <v>367</v>
      </c>
      <c r="B74" s="648">
        <v>98.224027557895994</v>
      </c>
      <c r="C74" s="648">
        <v>74.42465</v>
      </c>
      <c r="D74" s="649">
        <v>-23.799377557896001</v>
      </c>
      <c r="E74" s="650">
        <v>0.75770309821699999</v>
      </c>
      <c r="F74" s="648">
        <v>90.774895838665003</v>
      </c>
      <c r="G74" s="649">
        <v>90.774895838665003</v>
      </c>
      <c r="H74" s="651">
        <v>0</v>
      </c>
      <c r="I74" s="648">
        <v>72.223209999999995</v>
      </c>
      <c r="J74" s="649">
        <v>-18.551685838665001</v>
      </c>
      <c r="K74" s="652">
        <v>0.79562977553100001</v>
      </c>
    </row>
    <row r="75" spans="1:11" ht="14.4" customHeight="1" thickBot="1" x14ac:dyDescent="0.35">
      <c r="A75" s="670" t="s">
        <v>368</v>
      </c>
      <c r="B75" s="648">
        <v>31.999999999999002</v>
      </c>
      <c r="C75" s="648">
        <v>22.336849999999998</v>
      </c>
      <c r="D75" s="649">
        <v>-9.6631499999989998</v>
      </c>
      <c r="E75" s="650">
        <v>0.69802656249999995</v>
      </c>
      <c r="F75" s="648">
        <v>23.553590515878</v>
      </c>
      <c r="G75" s="649">
        <v>23.553590515878</v>
      </c>
      <c r="H75" s="651">
        <v>1.1940500000000001</v>
      </c>
      <c r="I75" s="648">
        <v>19.695509999999999</v>
      </c>
      <c r="J75" s="649">
        <v>-3.858080515878</v>
      </c>
      <c r="K75" s="652">
        <v>0.83619989855499999</v>
      </c>
    </row>
    <row r="76" spans="1:11" ht="14.4" customHeight="1" thickBot="1" x14ac:dyDescent="0.35">
      <c r="A76" s="670" t="s">
        <v>369</v>
      </c>
      <c r="B76" s="648">
        <v>0</v>
      </c>
      <c r="C76" s="648">
        <v>5.8309800000000003</v>
      </c>
      <c r="D76" s="649">
        <v>5.8309800000000003</v>
      </c>
      <c r="E76" s="658" t="s">
        <v>340</v>
      </c>
      <c r="F76" s="648">
        <v>5.972485093915</v>
      </c>
      <c r="G76" s="649">
        <v>5.972485093915</v>
      </c>
      <c r="H76" s="651">
        <v>0</v>
      </c>
      <c r="I76" s="648">
        <v>0</v>
      </c>
      <c r="J76" s="649">
        <v>-5.972485093915</v>
      </c>
      <c r="K76" s="652">
        <v>0</v>
      </c>
    </row>
    <row r="77" spans="1:11" ht="14.4" customHeight="1" thickBot="1" x14ac:dyDescent="0.35">
      <c r="A77" s="673" t="s">
        <v>33</v>
      </c>
      <c r="B77" s="653">
        <v>0</v>
      </c>
      <c r="C77" s="653">
        <v>105.94754</v>
      </c>
      <c r="D77" s="654">
        <v>105.94754</v>
      </c>
      <c r="E77" s="655" t="s">
        <v>298</v>
      </c>
      <c r="F77" s="653">
        <v>0</v>
      </c>
      <c r="G77" s="654">
        <v>0</v>
      </c>
      <c r="H77" s="656">
        <v>6.6280000000000001</v>
      </c>
      <c r="I77" s="653">
        <v>41.356999999999999</v>
      </c>
      <c r="J77" s="654">
        <v>41.356999999999999</v>
      </c>
      <c r="K77" s="657" t="s">
        <v>298</v>
      </c>
    </row>
    <row r="78" spans="1:11" ht="14.4" customHeight="1" thickBot="1" x14ac:dyDescent="0.35">
      <c r="A78" s="669" t="s">
        <v>370</v>
      </c>
      <c r="B78" s="653">
        <v>0</v>
      </c>
      <c r="C78" s="653">
        <v>59.673000000000002</v>
      </c>
      <c r="D78" s="654">
        <v>59.673000000000002</v>
      </c>
      <c r="E78" s="655" t="s">
        <v>298</v>
      </c>
      <c r="F78" s="653">
        <v>0</v>
      </c>
      <c r="G78" s="654">
        <v>0</v>
      </c>
      <c r="H78" s="656">
        <v>6.6280000000000001</v>
      </c>
      <c r="I78" s="653">
        <v>41.356999999999999</v>
      </c>
      <c r="J78" s="654">
        <v>41.356999999999999</v>
      </c>
      <c r="K78" s="657" t="s">
        <v>298</v>
      </c>
    </row>
    <row r="79" spans="1:11" ht="14.4" customHeight="1" thickBot="1" x14ac:dyDescent="0.35">
      <c r="A79" s="670" t="s">
        <v>371</v>
      </c>
      <c r="B79" s="648">
        <v>0</v>
      </c>
      <c r="C79" s="648">
        <v>29.992999999999999</v>
      </c>
      <c r="D79" s="649">
        <v>29.992999999999999</v>
      </c>
      <c r="E79" s="658" t="s">
        <v>298</v>
      </c>
      <c r="F79" s="648">
        <v>0</v>
      </c>
      <c r="G79" s="649">
        <v>0</v>
      </c>
      <c r="H79" s="651">
        <v>6.6280000000000001</v>
      </c>
      <c r="I79" s="648">
        <v>41.356999999999999</v>
      </c>
      <c r="J79" s="649">
        <v>41.356999999999999</v>
      </c>
      <c r="K79" s="659" t="s">
        <v>298</v>
      </c>
    </row>
    <row r="80" spans="1:11" ht="14.4" customHeight="1" thickBot="1" x14ac:dyDescent="0.35">
      <c r="A80" s="670" t="s">
        <v>372</v>
      </c>
      <c r="B80" s="648">
        <v>0</v>
      </c>
      <c r="C80" s="648">
        <v>29.68</v>
      </c>
      <c r="D80" s="649">
        <v>29.68</v>
      </c>
      <c r="E80" s="658" t="s">
        <v>298</v>
      </c>
      <c r="F80" s="648">
        <v>0</v>
      </c>
      <c r="G80" s="649">
        <v>0</v>
      </c>
      <c r="H80" s="651">
        <v>0</v>
      </c>
      <c r="I80" s="648">
        <v>0</v>
      </c>
      <c r="J80" s="649">
        <v>0</v>
      </c>
      <c r="K80" s="659" t="s">
        <v>298</v>
      </c>
    </row>
    <row r="81" spans="1:11" ht="14.4" customHeight="1" thickBot="1" x14ac:dyDescent="0.35">
      <c r="A81" s="669" t="s">
        <v>373</v>
      </c>
      <c r="B81" s="653">
        <v>0</v>
      </c>
      <c r="C81" s="653">
        <v>46.274540000000002</v>
      </c>
      <c r="D81" s="654">
        <v>46.274540000000002</v>
      </c>
      <c r="E81" s="655" t="s">
        <v>298</v>
      </c>
      <c r="F81" s="653">
        <v>0</v>
      </c>
      <c r="G81" s="654">
        <v>0</v>
      </c>
      <c r="H81" s="656">
        <v>0</v>
      </c>
      <c r="I81" s="653">
        <v>0</v>
      </c>
      <c r="J81" s="654">
        <v>0</v>
      </c>
      <c r="K81" s="657" t="s">
        <v>298</v>
      </c>
    </row>
    <row r="82" spans="1:11" ht="14.4" customHeight="1" thickBot="1" x14ac:dyDescent="0.35">
      <c r="A82" s="670" t="s">
        <v>374</v>
      </c>
      <c r="B82" s="648">
        <v>0</v>
      </c>
      <c r="C82" s="648">
        <v>37.838000000000001</v>
      </c>
      <c r="D82" s="649">
        <v>37.838000000000001</v>
      </c>
      <c r="E82" s="658" t="s">
        <v>298</v>
      </c>
      <c r="F82" s="648">
        <v>0</v>
      </c>
      <c r="G82" s="649">
        <v>0</v>
      </c>
      <c r="H82" s="651">
        <v>0</v>
      </c>
      <c r="I82" s="648">
        <v>0</v>
      </c>
      <c r="J82" s="649">
        <v>0</v>
      </c>
      <c r="K82" s="659" t="s">
        <v>298</v>
      </c>
    </row>
    <row r="83" spans="1:11" ht="14.4" customHeight="1" thickBot="1" x14ac:dyDescent="0.35">
      <c r="A83" s="670" t="s">
        <v>375</v>
      </c>
      <c r="B83" s="648">
        <v>0</v>
      </c>
      <c r="C83" s="648">
        <v>8.4365400000000008</v>
      </c>
      <c r="D83" s="649">
        <v>8.4365400000000008</v>
      </c>
      <c r="E83" s="658" t="s">
        <v>298</v>
      </c>
      <c r="F83" s="648">
        <v>0</v>
      </c>
      <c r="G83" s="649">
        <v>0</v>
      </c>
      <c r="H83" s="651">
        <v>0</v>
      </c>
      <c r="I83" s="648">
        <v>0</v>
      </c>
      <c r="J83" s="649">
        <v>0</v>
      </c>
      <c r="K83" s="659" t="s">
        <v>298</v>
      </c>
    </row>
    <row r="84" spans="1:11" ht="14.4" customHeight="1" thickBot="1" x14ac:dyDescent="0.35">
      <c r="A84" s="668" t="s">
        <v>34</v>
      </c>
      <c r="B84" s="648">
        <v>979.71305093147805</v>
      </c>
      <c r="C84" s="648">
        <v>992.51277000000005</v>
      </c>
      <c r="D84" s="649">
        <v>12.799719068521</v>
      </c>
      <c r="E84" s="650">
        <v>1.0130647632550001</v>
      </c>
      <c r="F84" s="648">
        <v>951.50595594593801</v>
      </c>
      <c r="G84" s="649">
        <v>951.50595594593801</v>
      </c>
      <c r="H84" s="651">
        <v>105.07574</v>
      </c>
      <c r="I84" s="648">
        <v>907.49979000000098</v>
      </c>
      <c r="J84" s="649">
        <v>-44.006165945935997</v>
      </c>
      <c r="K84" s="652">
        <v>0.95375103469300004</v>
      </c>
    </row>
    <row r="85" spans="1:11" ht="14.4" customHeight="1" thickBot="1" x14ac:dyDescent="0.35">
      <c r="A85" s="669" t="s">
        <v>376</v>
      </c>
      <c r="B85" s="653">
        <v>6.088952058446</v>
      </c>
      <c r="C85" s="653">
        <v>5.0972200000000001</v>
      </c>
      <c r="D85" s="654">
        <v>-0.99173205844599999</v>
      </c>
      <c r="E85" s="660">
        <v>0.837125986717</v>
      </c>
      <c r="F85" s="653">
        <v>4.9666367552789996</v>
      </c>
      <c r="G85" s="654">
        <v>4.9666367552789996</v>
      </c>
      <c r="H85" s="656">
        <v>0.36277999999999999</v>
      </c>
      <c r="I85" s="653">
        <v>6.3806099999999999</v>
      </c>
      <c r="J85" s="654">
        <v>1.41397324472</v>
      </c>
      <c r="K85" s="661">
        <v>1.2846943141580001</v>
      </c>
    </row>
    <row r="86" spans="1:11" ht="14.4" customHeight="1" thickBot="1" x14ac:dyDescent="0.35">
      <c r="A86" s="670" t="s">
        <v>377</v>
      </c>
      <c r="B86" s="648">
        <v>1.100716192493</v>
      </c>
      <c r="C86" s="648">
        <v>0.92179999999999995</v>
      </c>
      <c r="D86" s="649">
        <v>-0.178916192493</v>
      </c>
      <c r="E86" s="650">
        <v>0.83745474654200003</v>
      </c>
      <c r="F86" s="648">
        <v>0.67259574144300005</v>
      </c>
      <c r="G86" s="649">
        <v>0.67259574144300005</v>
      </c>
      <c r="H86" s="651">
        <v>9.4999999999999998E-3</v>
      </c>
      <c r="I86" s="648">
        <v>1.0869</v>
      </c>
      <c r="J86" s="649">
        <v>0.414304258556</v>
      </c>
      <c r="K86" s="652">
        <v>1.615978117357</v>
      </c>
    </row>
    <row r="87" spans="1:11" ht="14.4" customHeight="1" thickBot="1" x14ac:dyDescent="0.35">
      <c r="A87" s="670" t="s">
        <v>378</v>
      </c>
      <c r="B87" s="648">
        <v>4.9882358659520003</v>
      </c>
      <c r="C87" s="648">
        <v>4.1754199999999999</v>
      </c>
      <c r="D87" s="649">
        <v>-0.81281586595199995</v>
      </c>
      <c r="E87" s="650">
        <v>0.83705344177800001</v>
      </c>
      <c r="F87" s="648">
        <v>4.2940410138359999</v>
      </c>
      <c r="G87" s="649">
        <v>4.2940410138359999</v>
      </c>
      <c r="H87" s="651">
        <v>0.35327999999999998</v>
      </c>
      <c r="I87" s="648">
        <v>5.2937099999999999</v>
      </c>
      <c r="J87" s="649">
        <v>0.99966898616300004</v>
      </c>
      <c r="K87" s="652">
        <v>1.2328037815520001</v>
      </c>
    </row>
    <row r="88" spans="1:11" ht="14.4" customHeight="1" thickBot="1" x14ac:dyDescent="0.35">
      <c r="A88" s="669" t="s">
        <v>379</v>
      </c>
      <c r="B88" s="653">
        <v>33</v>
      </c>
      <c r="C88" s="653">
        <v>34.314599999999999</v>
      </c>
      <c r="D88" s="654">
        <v>1.3145999999989999</v>
      </c>
      <c r="E88" s="660">
        <v>1.039836363636</v>
      </c>
      <c r="F88" s="653">
        <v>43.008016385961</v>
      </c>
      <c r="G88" s="654">
        <v>43.008016385961</v>
      </c>
      <c r="H88" s="656">
        <v>3.5815999999999999</v>
      </c>
      <c r="I88" s="653">
        <v>34.7196</v>
      </c>
      <c r="J88" s="654">
        <v>-8.2884163859609998</v>
      </c>
      <c r="K88" s="661">
        <v>0.80728205849800005</v>
      </c>
    </row>
    <row r="89" spans="1:11" ht="14.4" customHeight="1" thickBot="1" x14ac:dyDescent="0.35">
      <c r="A89" s="670" t="s">
        <v>380</v>
      </c>
      <c r="B89" s="648">
        <v>11</v>
      </c>
      <c r="C89" s="648">
        <v>12.824999999999999</v>
      </c>
      <c r="D89" s="649">
        <v>1.8249999999990001</v>
      </c>
      <c r="E89" s="650">
        <v>1.165909090909</v>
      </c>
      <c r="F89" s="648">
        <v>13.487323943662</v>
      </c>
      <c r="G89" s="649">
        <v>13.487323943662</v>
      </c>
      <c r="H89" s="651">
        <v>0</v>
      </c>
      <c r="I89" s="648">
        <v>13.23</v>
      </c>
      <c r="J89" s="649">
        <v>-0.25732394366099998</v>
      </c>
      <c r="K89" s="652">
        <v>0.98092105263100005</v>
      </c>
    </row>
    <row r="90" spans="1:11" ht="14.4" customHeight="1" thickBot="1" x14ac:dyDescent="0.35">
      <c r="A90" s="670" t="s">
        <v>381</v>
      </c>
      <c r="B90" s="648">
        <v>22</v>
      </c>
      <c r="C90" s="648">
        <v>21.489599999999999</v>
      </c>
      <c r="D90" s="649">
        <v>-0.51039999999999996</v>
      </c>
      <c r="E90" s="650">
        <v>0.97679999999900002</v>
      </c>
      <c r="F90" s="648">
        <v>29.520692442299001</v>
      </c>
      <c r="G90" s="649">
        <v>29.520692442299001</v>
      </c>
      <c r="H90" s="651">
        <v>3.5815999999999999</v>
      </c>
      <c r="I90" s="648">
        <v>21.489599999999999</v>
      </c>
      <c r="J90" s="649">
        <v>-8.0310924422990002</v>
      </c>
      <c r="K90" s="652">
        <v>0.72795040434699998</v>
      </c>
    </row>
    <row r="91" spans="1:11" ht="14.4" customHeight="1" thickBot="1" x14ac:dyDescent="0.35">
      <c r="A91" s="669" t="s">
        <v>382</v>
      </c>
      <c r="B91" s="653">
        <v>428.22825453617202</v>
      </c>
      <c r="C91" s="653">
        <v>454.20632000000001</v>
      </c>
      <c r="D91" s="654">
        <v>25.978065463827001</v>
      </c>
      <c r="E91" s="660">
        <v>1.060664062187</v>
      </c>
      <c r="F91" s="653">
        <v>512.81478730905405</v>
      </c>
      <c r="G91" s="654">
        <v>512.81478730905405</v>
      </c>
      <c r="H91" s="656">
        <v>38.413400000000003</v>
      </c>
      <c r="I91" s="653">
        <v>486.09585000000101</v>
      </c>
      <c r="J91" s="654">
        <v>-26.718937309053</v>
      </c>
      <c r="K91" s="661">
        <v>0.94789749053500005</v>
      </c>
    </row>
    <row r="92" spans="1:11" ht="14.4" customHeight="1" thickBot="1" x14ac:dyDescent="0.35">
      <c r="A92" s="670" t="s">
        <v>383</v>
      </c>
      <c r="B92" s="648">
        <v>421</v>
      </c>
      <c r="C92" s="648">
        <v>423.99525999999997</v>
      </c>
      <c r="D92" s="649">
        <v>2.9952599999989999</v>
      </c>
      <c r="E92" s="650">
        <v>1.007114631828</v>
      </c>
      <c r="F92" s="648">
        <v>482.41597959587801</v>
      </c>
      <c r="G92" s="649">
        <v>482.41597959587801</v>
      </c>
      <c r="H92" s="651">
        <v>38.413400000000003</v>
      </c>
      <c r="I92" s="648">
        <v>465.13865000000101</v>
      </c>
      <c r="J92" s="649">
        <v>-17.277329595876999</v>
      </c>
      <c r="K92" s="652">
        <v>0.96418582649200002</v>
      </c>
    </row>
    <row r="93" spans="1:11" ht="14.4" customHeight="1" thickBot="1" x14ac:dyDescent="0.35">
      <c r="A93" s="670" t="s">
        <v>384</v>
      </c>
      <c r="B93" s="648">
        <v>0</v>
      </c>
      <c r="C93" s="648">
        <v>30.21106</v>
      </c>
      <c r="D93" s="649">
        <v>30.21106</v>
      </c>
      <c r="E93" s="658" t="s">
        <v>298</v>
      </c>
      <c r="F93" s="648">
        <v>30.398807713176001</v>
      </c>
      <c r="G93" s="649">
        <v>30.398807713176001</v>
      </c>
      <c r="H93" s="651">
        <v>0</v>
      </c>
      <c r="I93" s="648">
        <v>20.9572</v>
      </c>
      <c r="J93" s="649">
        <v>-9.4416077131759995</v>
      </c>
      <c r="K93" s="652">
        <v>0.68940861752600002</v>
      </c>
    </row>
    <row r="94" spans="1:11" ht="14.4" customHeight="1" thickBot="1" x14ac:dyDescent="0.35">
      <c r="A94" s="670" t="s">
        <v>385</v>
      </c>
      <c r="B94" s="648">
        <v>7.2282545361709998</v>
      </c>
      <c r="C94" s="648">
        <v>0</v>
      </c>
      <c r="D94" s="649">
        <v>-7.2282545361709998</v>
      </c>
      <c r="E94" s="650">
        <v>0</v>
      </c>
      <c r="F94" s="648">
        <v>0</v>
      </c>
      <c r="G94" s="649">
        <v>0</v>
      </c>
      <c r="H94" s="651">
        <v>0</v>
      </c>
      <c r="I94" s="648">
        <v>0</v>
      </c>
      <c r="J94" s="649">
        <v>0</v>
      </c>
      <c r="K94" s="652">
        <v>12</v>
      </c>
    </row>
    <row r="95" spans="1:11" ht="14.4" customHeight="1" thickBot="1" x14ac:dyDescent="0.35">
      <c r="A95" s="669" t="s">
        <v>386</v>
      </c>
      <c r="B95" s="653">
        <v>512.39584433686002</v>
      </c>
      <c r="C95" s="653">
        <v>498.89463000000001</v>
      </c>
      <c r="D95" s="654">
        <v>-13.501214336859</v>
      </c>
      <c r="E95" s="660">
        <v>0.973650812187</v>
      </c>
      <c r="F95" s="653">
        <v>390.716515495642</v>
      </c>
      <c r="G95" s="654">
        <v>390.716515495642</v>
      </c>
      <c r="H95" s="656">
        <v>62.717959999999998</v>
      </c>
      <c r="I95" s="653">
        <v>380.303730000001</v>
      </c>
      <c r="J95" s="654">
        <v>-10.412785495641</v>
      </c>
      <c r="K95" s="661">
        <v>0.97334951279799997</v>
      </c>
    </row>
    <row r="96" spans="1:11" ht="14.4" customHeight="1" thickBot="1" x14ac:dyDescent="0.35">
      <c r="A96" s="670" t="s">
        <v>387</v>
      </c>
      <c r="B96" s="648">
        <v>14.103999999998999</v>
      </c>
      <c r="C96" s="648">
        <v>14.103999999999999</v>
      </c>
      <c r="D96" s="649">
        <v>6.2172489379008804E-14</v>
      </c>
      <c r="E96" s="650">
        <v>1</v>
      </c>
      <c r="F96" s="648">
        <v>0</v>
      </c>
      <c r="G96" s="649">
        <v>0</v>
      </c>
      <c r="H96" s="651">
        <v>0</v>
      </c>
      <c r="I96" s="648">
        <v>1.1000000000000001</v>
      </c>
      <c r="J96" s="649">
        <v>1.1000000000000001</v>
      </c>
      <c r="K96" s="659" t="s">
        <v>298</v>
      </c>
    </row>
    <row r="97" spans="1:11" ht="14.4" customHeight="1" thickBot="1" x14ac:dyDescent="0.35">
      <c r="A97" s="670" t="s">
        <v>388</v>
      </c>
      <c r="B97" s="648">
        <v>414.07075081599601</v>
      </c>
      <c r="C97" s="648">
        <v>446.38337000000001</v>
      </c>
      <c r="D97" s="649">
        <v>32.312619184002997</v>
      </c>
      <c r="E97" s="650">
        <v>1.078036468696</v>
      </c>
      <c r="F97" s="648">
        <v>354.46523832652099</v>
      </c>
      <c r="G97" s="649">
        <v>354.46523832652099</v>
      </c>
      <c r="H97" s="651">
        <v>58.877960000000002</v>
      </c>
      <c r="I97" s="648">
        <v>340.29922000000101</v>
      </c>
      <c r="J97" s="649">
        <v>-14.16601832652</v>
      </c>
      <c r="K97" s="652">
        <v>0.96003552169600004</v>
      </c>
    </row>
    <row r="98" spans="1:11" ht="14.4" customHeight="1" thickBot="1" x14ac:dyDescent="0.35">
      <c r="A98" s="670" t="s">
        <v>389</v>
      </c>
      <c r="B98" s="648">
        <v>5</v>
      </c>
      <c r="C98" s="648">
        <v>0</v>
      </c>
      <c r="D98" s="649">
        <v>-5</v>
      </c>
      <c r="E98" s="650">
        <v>0</v>
      </c>
      <c r="F98" s="648">
        <v>0</v>
      </c>
      <c r="G98" s="649">
        <v>0</v>
      </c>
      <c r="H98" s="651">
        <v>0</v>
      </c>
      <c r="I98" s="648">
        <v>2.5830000000000002</v>
      </c>
      <c r="J98" s="649">
        <v>2.5830000000000002</v>
      </c>
      <c r="K98" s="659" t="s">
        <v>340</v>
      </c>
    </row>
    <row r="99" spans="1:11" ht="14.4" customHeight="1" thickBot="1" x14ac:dyDescent="0.35">
      <c r="A99" s="670" t="s">
        <v>390</v>
      </c>
      <c r="B99" s="648">
        <v>1.3958282360259999</v>
      </c>
      <c r="C99" s="648">
        <v>0.19359999999999999</v>
      </c>
      <c r="D99" s="649">
        <v>-1.2022282360259999</v>
      </c>
      <c r="E99" s="650">
        <v>0.138699013963</v>
      </c>
      <c r="F99" s="648">
        <v>0</v>
      </c>
      <c r="G99" s="649">
        <v>0</v>
      </c>
      <c r="H99" s="651">
        <v>0</v>
      </c>
      <c r="I99" s="648">
        <v>1.89</v>
      </c>
      <c r="J99" s="649">
        <v>1.89</v>
      </c>
      <c r="K99" s="659" t="s">
        <v>340</v>
      </c>
    </row>
    <row r="100" spans="1:11" ht="14.4" customHeight="1" thickBot="1" x14ac:dyDescent="0.35">
      <c r="A100" s="670" t="s">
        <v>391</v>
      </c>
      <c r="B100" s="648">
        <v>77.825265284835993</v>
      </c>
      <c r="C100" s="648">
        <v>38.213659999999997</v>
      </c>
      <c r="D100" s="649">
        <v>-39.611605284836003</v>
      </c>
      <c r="E100" s="650">
        <v>0.49101869245300001</v>
      </c>
      <c r="F100" s="648">
        <v>36.251277169121003</v>
      </c>
      <c r="G100" s="649">
        <v>36.251277169121003</v>
      </c>
      <c r="H100" s="651">
        <v>3.84</v>
      </c>
      <c r="I100" s="648">
        <v>34.431510000000003</v>
      </c>
      <c r="J100" s="649">
        <v>-1.819767169121</v>
      </c>
      <c r="K100" s="652">
        <v>0.94980129498200006</v>
      </c>
    </row>
    <row r="101" spans="1:11" ht="14.4" customHeight="1" thickBot="1" x14ac:dyDescent="0.35">
      <c r="A101" s="667" t="s">
        <v>35</v>
      </c>
      <c r="B101" s="648">
        <v>43931</v>
      </c>
      <c r="C101" s="648">
        <v>47854.796719999998</v>
      </c>
      <c r="D101" s="649">
        <v>3923.7967199999898</v>
      </c>
      <c r="E101" s="650">
        <v>1.089317263891</v>
      </c>
      <c r="F101" s="648">
        <v>49393.942529452899</v>
      </c>
      <c r="G101" s="649">
        <v>49393.942529452899</v>
      </c>
      <c r="H101" s="651">
        <v>4687.4561400000202</v>
      </c>
      <c r="I101" s="648">
        <v>54222.825610000102</v>
      </c>
      <c r="J101" s="649">
        <v>4828.8830805472198</v>
      </c>
      <c r="K101" s="652">
        <v>1.0977626573870001</v>
      </c>
    </row>
    <row r="102" spans="1:11" ht="14.4" customHeight="1" thickBot="1" x14ac:dyDescent="0.35">
      <c r="A102" s="673" t="s">
        <v>392</v>
      </c>
      <c r="B102" s="653">
        <v>32345</v>
      </c>
      <c r="C102" s="653">
        <v>35297.701999999997</v>
      </c>
      <c r="D102" s="654">
        <v>2952.7019999999802</v>
      </c>
      <c r="E102" s="660">
        <v>1.0912877415360001</v>
      </c>
      <c r="F102" s="653">
        <v>36362.3025294529</v>
      </c>
      <c r="G102" s="654">
        <v>36362.3025294529</v>
      </c>
      <c r="H102" s="656">
        <v>3510.85500000002</v>
      </c>
      <c r="I102" s="653">
        <v>39973.1510000001</v>
      </c>
      <c r="J102" s="654">
        <v>3610.8484705471901</v>
      </c>
      <c r="K102" s="661">
        <v>1.09930197538</v>
      </c>
    </row>
    <row r="103" spans="1:11" ht="14.4" customHeight="1" thickBot="1" x14ac:dyDescent="0.35">
      <c r="A103" s="669" t="s">
        <v>393</v>
      </c>
      <c r="B103" s="653">
        <v>32185</v>
      </c>
      <c r="C103" s="653">
        <v>35136.427000000003</v>
      </c>
      <c r="D103" s="654">
        <v>2951.4269999999701</v>
      </c>
      <c r="E103" s="660">
        <v>1.0917019418980001</v>
      </c>
      <c r="F103" s="653">
        <v>36198.999999999898</v>
      </c>
      <c r="G103" s="654">
        <v>36198.999999999898</v>
      </c>
      <c r="H103" s="656">
        <v>3510.85500000002</v>
      </c>
      <c r="I103" s="653">
        <v>39803.911000000102</v>
      </c>
      <c r="J103" s="654">
        <v>3604.9110000001701</v>
      </c>
      <c r="K103" s="661">
        <v>1.099585927788</v>
      </c>
    </row>
    <row r="104" spans="1:11" ht="14.4" customHeight="1" thickBot="1" x14ac:dyDescent="0.35">
      <c r="A104" s="670" t="s">
        <v>394</v>
      </c>
      <c r="B104" s="648">
        <v>32185</v>
      </c>
      <c r="C104" s="648">
        <v>35136.427000000003</v>
      </c>
      <c r="D104" s="649">
        <v>2951.4269999999701</v>
      </c>
      <c r="E104" s="650">
        <v>1.0917019418980001</v>
      </c>
      <c r="F104" s="648">
        <v>36198.999999999898</v>
      </c>
      <c r="G104" s="649">
        <v>36198.999999999898</v>
      </c>
      <c r="H104" s="651">
        <v>3510.85500000002</v>
      </c>
      <c r="I104" s="648">
        <v>39803.911000000102</v>
      </c>
      <c r="J104" s="649">
        <v>3604.9110000001701</v>
      </c>
      <c r="K104" s="652">
        <v>1.099585927788</v>
      </c>
    </row>
    <row r="105" spans="1:11" ht="14.4" customHeight="1" thickBot="1" x14ac:dyDescent="0.35">
      <c r="A105" s="669" t="s">
        <v>395</v>
      </c>
      <c r="B105" s="653">
        <v>69.999999999999005</v>
      </c>
      <c r="C105" s="653">
        <v>60</v>
      </c>
      <c r="D105" s="654">
        <v>-9.9999999999989999</v>
      </c>
      <c r="E105" s="660">
        <v>0.857142857142</v>
      </c>
      <c r="F105" s="653">
        <v>77.031529452979001</v>
      </c>
      <c r="G105" s="654">
        <v>77.031529452979001</v>
      </c>
      <c r="H105" s="656">
        <v>0</v>
      </c>
      <c r="I105" s="653">
        <v>48</v>
      </c>
      <c r="J105" s="654">
        <v>-29.031529452979001</v>
      </c>
      <c r="K105" s="661">
        <v>0.62312147169900001</v>
      </c>
    </row>
    <row r="106" spans="1:11" ht="14.4" customHeight="1" thickBot="1" x14ac:dyDescent="0.35">
      <c r="A106" s="670" t="s">
        <v>396</v>
      </c>
      <c r="B106" s="648">
        <v>69.999999999999005</v>
      </c>
      <c r="C106" s="648">
        <v>60</v>
      </c>
      <c r="D106" s="649">
        <v>-9.9999999999989999</v>
      </c>
      <c r="E106" s="650">
        <v>0.857142857142</v>
      </c>
      <c r="F106" s="648">
        <v>77.031529452979001</v>
      </c>
      <c r="G106" s="649">
        <v>77.031529452979001</v>
      </c>
      <c r="H106" s="651">
        <v>0</v>
      </c>
      <c r="I106" s="648">
        <v>48</v>
      </c>
      <c r="J106" s="649">
        <v>-29.031529452979001</v>
      </c>
      <c r="K106" s="652">
        <v>0.62312147169900001</v>
      </c>
    </row>
    <row r="107" spans="1:11" ht="14.4" customHeight="1" thickBot="1" x14ac:dyDescent="0.35">
      <c r="A107" s="669" t="s">
        <v>397</v>
      </c>
      <c r="B107" s="653">
        <v>90</v>
      </c>
      <c r="C107" s="653">
        <v>71.775000000000006</v>
      </c>
      <c r="D107" s="654">
        <v>-18.225000000000001</v>
      </c>
      <c r="E107" s="660">
        <v>0.79749999999900001</v>
      </c>
      <c r="F107" s="653">
        <v>86.271000000000001</v>
      </c>
      <c r="G107" s="654">
        <v>86.271000000000001</v>
      </c>
      <c r="H107" s="656">
        <v>0</v>
      </c>
      <c r="I107" s="653">
        <v>105.24</v>
      </c>
      <c r="J107" s="654">
        <v>18.969000000000001</v>
      </c>
      <c r="K107" s="661">
        <v>1.219876899537</v>
      </c>
    </row>
    <row r="108" spans="1:11" ht="14.4" customHeight="1" thickBot="1" x14ac:dyDescent="0.35">
      <c r="A108" s="670" t="s">
        <v>398</v>
      </c>
      <c r="B108" s="648">
        <v>90</v>
      </c>
      <c r="C108" s="648">
        <v>71.775000000000006</v>
      </c>
      <c r="D108" s="649">
        <v>-18.225000000000001</v>
      </c>
      <c r="E108" s="650">
        <v>0.79749999999900001</v>
      </c>
      <c r="F108" s="648">
        <v>86.271000000000001</v>
      </c>
      <c r="G108" s="649">
        <v>86.271000000000001</v>
      </c>
      <c r="H108" s="651">
        <v>0</v>
      </c>
      <c r="I108" s="648">
        <v>105.24</v>
      </c>
      <c r="J108" s="649">
        <v>18.969000000000001</v>
      </c>
      <c r="K108" s="652">
        <v>1.219876899537</v>
      </c>
    </row>
    <row r="109" spans="1:11" ht="14.4" customHeight="1" thickBot="1" x14ac:dyDescent="0.35">
      <c r="A109" s="672" t="s">
        <v>399</v>
      </c>
      <c r="B109" s="648">
        <v>0</v>
      </c>
      <c r="C109" s="648">
        <v>29.5</v>
      </c>
      <c r="D109" s="649">
        <v>29.5</v>
      </c>
      <c r="E109" s="658" t="s">
        <v>340</v>
      </c>
      <c r="F109" s="648">
        <v>0</v>
      </c>
      <c r="G109" s="649">
        <v>0</v>
      </c>
      <c r="H109" s="651">
        <v>0</v>
      </c>
      <c r="I109" s="648">
        <v>16</v>
      </c>
      <c r="J109" s="649">
        <v>16</v>
      </c>
      <c r="K109" s="659" t="s">
        <v>298</v>
      </c>
    </row>
    <row r="110" spans="1:11" ht="14.4" customHeight="1" thickBot="1" x14ac:dyDescent="0.35">
      <c r="A110" s="670" t="s">
        <v>400</v>
      </c>
      <c r="B110" s="648">
        <v>0</v>
      </c>
      <c r="C110" s="648">
        <v>29.5</v>
      </c>
      <c r="D110" s="649">
        <v>29.5</v>
      </c>
      <c r="E110" s="658" t="s">
        <v>340</v>
      </c>
      <c r="F110" s="648">
        <v>0</v>
      </c>
      <c r="G110" s="649">
        <v>0</v>
      </c>
      <c r="H110" s="651">
        <v>0</v>
      </c>
      <c r="I110" s="648">
        <v>16</v>
      </c>
      <c r="J110" s="649">
        <v>16</v>
      </c>
      <c r="K110" s="659" t="s">
        <v>298</v>
      </c>
    </row>
    <row r="111" spans="1:11" ht="14.4" customHeight="1" thickBot="1" x14ac:dyDescent="0.35">
      <c r="A111" s="668" t="s">
        <v>401</v>
      </c>
      <c r="B111" s="648">
        <v>10942</v>
      </c>
      <c r="C111" s="648">
        <v>11852.9267</v>
      </c>
      <c r="D111" s="649">
        <v>910.92670000001499</v>
      </c>
      <c r="E111" s="650">
        <v>1.0832504752330001</v>
      </c>
      <c r="F111" s="648">
        <v>12307.66</v>
      </c>
      <c r="G111" s="649">
        <v>12307.66</v>
      </c>
      <c r="H111" s="651">
        <v>1106.3858499999999</v>
      </c>
      <c r="I111" s="648">
        <v>13451.47595</v>
      </c>
      <c r="J111" s="649">
        <v>1143.8159500000299</v>
      </c>
      <c r="K111" s="652">
        <v>1.092935289892</v>
      </c>
    </row>
    <row r="112" spans="1:11" ht="14.4" customHeight="1" thickBot="1" x14ac:dyDescent="0.35">
      <c r="A112" s="669" t="s">
        <v>402</v>
      </c>
      <c r="B112" s="653">
        <v>2895.99999999999</v>
      </c>
      <c r="C112" s="653">
        <v>3164.92695</v>
      </c>
      <c r="D112" s="654">
        <v>268.926950000011</v>
      </c>
      <c r="E112" s="660">
        <v>1.092861515883</v>
      </c>
      <c r="F112" s="653">
        <v>3257.9100000000099</v>
      </c>
      <c r="G112" s="654">
        <v>3257.9100000000099</v>
      </c>
      <c r="H112" s="656">
        <v>315.976100000001</v>
      </c>
      <c r="I112" s="653">
        <v>3583.8022000000101</v>
      </c>
      <c r="J112" s="654">
        <v>325.8922</v>
      </c>
      <c r="K112" s="661">
        <v>1.100031062859</v>
      </c>
    </row>
    <row r="113" spans="1:11" ht="14.4" customHeight="1" thickBot="1" x14ac:dyDescent="0.35">
      <c r="A113" s="670" t="s">
        <v>403</v>
      </c>
      <c r="B113" s="648">
        <v>2895.99999999999</v>
      </c>
      <c r="C113" s="648">
        <v>3164.92695</v>
      </c>
      <c r="D113" s="649">
        <v>268.926950000011</v>
      </c>
      <c r="E113" s="650">
        <v>1.092861515883</v>
      </c>
      <c r="F113" s="648">
        <v>3257.9100000000099</v>
      </c>
      <c r="G113" s="649">
        <v>3257.9100000000099</v>
      </c>
      <c r="H113" s="651">
        <v>315.976100000001</v>
      </c>
      <c r="I113" s="648">
        <v>3583.8022000000101</v>
      </c>
      <c r="J113" s="649">
        <v>325.8922</v>
      </c>
      <c r="K113" s="652">
        <v>1.100031062859</v>
      </c>
    </row>
    <row r="114" spans="1:11" ht="14.4" customHeight="1" thickBot="1" x14ac:dyDescent="0.35">
      <c r="A114" s="669" t="s">
        <v>404</v>
      </c>
      <c r="B114" s="653">
        <v>8046</v>
      </c>
      <c r="C114" s="653">
        <v>8687.9997500000009</v>
      </c>
      <c r="D114" s="654">
        <v>641.99975000000097</v>
      </c>
      <c r="E114" s="660">
        <v>1.079791169525</v>
      </c>
      <c r="F114" s="653">
        <v>9049.7499999999909</v>
      </c>
      <c r="G114" s="654">
        <v>9049.7499999999909</v>
      </c>
      <c r="H114" s="656">
        <v>790.40975000000401</v>
      </c>
      <c r="I114" s="653">
        <v>9867.6737500000199</v>
      </c>
      <c r="J114" s="654">
        <v>817.92375000002903</v>
      </c>
      <c r="K114" s="661">
        <v>1.0903808116239999</v>
      </c>
    </row>
    <row r="115" spans="1:11" ht="14.4" customHeight="1" thickBot="1" x14ac:dyDescent="0.35">
      <c r="A115" s="670" t="s">
        <v>405</v>
      </c>
      <c r="B115" s="648">
        <v>8046</v>
      </c>
      <c r="C115" s="648">
        <v>8687.9997500000009</v>
      </c>
      <c r="D115" s="649">
        <v>641.99975000000097</v>
      </c>
      <c r="E115" s="650">
        <v>1.079791169525</v>
      </c>
      <c r="F115" s="648">
        <v>9049.7499999999909</v>
      </c>
      <c r="G115" s="649">
        <v>9049.7499999999909</v>
      </c>
      <c r="H115" s="651">
        <v>790.40975000000401</v>
      </c>
      <c r="I115" s="648">
        <v>9867.6737500000199</v>
      </c>
      <c r="J115" s="649">
        <v>817.92375000002903</v>
      </c>
      <c r="K115" s="652">
        <v>1.0903808116239999</v>
      </c>
    </row>
    <row r="116" spans="1:11" ht="14.4" customHeight="1" thickBot="1" x14ac:dyDescent="0.35">
      <c r="A116" s="668" t="s">
        <v>406</v>
      </c>
      <c r="B116" s="648">
        <v>644.00000000000102</v>
      </c>
      <c r="C116" s="648">
        <v>704.16801999999996</v>
      </c>
      <c r="D116" s="649">
        <v>60.168019999998997</v>
      </c>
      <c r="E116" s="650">
        <v>1.0934286024840001</v>
      </c>
      <c r="F116" s="648">
        <v>723.98000000000297</v>
      </c>
      <c r="G116" s="649">
        <v>723.98000000000297</v>
      </c>
      <c r="H116" s="651">
        <v>70.215289999999996</v>
      </c>
      <c r="I116" s="648">
        <v>798.19866000000104</v>
      </c>
      <c r="J116" s="649">
        <v>74.218659999997996</v>
      </c>
      <c r="K116" s="652">
        <v>1.102514793226</v>
      </c>
    </row>
    <row r="117" spans="1:11" ht="14.4" customHeight="1" thickBot="1" x14ac:dyDescent="0.35">
      <c r="A117" s="669" t="s">
        <v>407</v>
      </c>
      <c r="B117" s="653">
        <v>644.00000000000102</v>
      </c>
      <c r="C117" s="653">
        <v>704.16801999999996</v>
      </c>
      <c r="D117" s="654">
        <v>60.168019999998997</v>
      </c>
      <c r="E117" s="660">
        <v>1.0934286024840001</v>
      </c>
      <c r="F117" s="653">
        <v>723.98000000000297</v>
      </c>
      <c r="G117" s="654">
        <v>723.98000000000297</v>
      </c>
      <c r="H117" s="656">
        <v>70.215289999999996</v>
      </c>
      <c r="I117" s="653">
        <v>798.19866000000104</v>
      </c>
      <c r="J117" s="654">
        <v>74.218659999997996</v>
      </c>
      <c r="K117" s="661">
        <v>1.102514793226</v>
      </c>
    </row>
    <row r="118" spans="1:11" ht="14.4" customHeight="1" thickBot="1" x14ac:dyDescent="0.35">
      <c r="A118" s="670" t="s">
        <v>408</v>
      </c>
      <c r="B118" s="648">
        <v>644.00000000000102</v>
      </c>
      <c r="C118" s="648">
        <v>704.16801999999996</v>
      </c>
      <c r="D118" s="649">
        <v>60.168019999998997</v>
      </c>
      <c r="E118" s="650">
        <v>1.0934286024840001</v>
      </c>
      <c r="F118" s="648">
        <v>723.98000000000297</v>
      </c>
      <c r="G118" s="649">
        <v>723.98000000000297</v>
      </c>
      <c r="H118" s="651">
        <v>70.215289999999996</v>
      </c>
      <c r="I118" s="648">
        <v>798.19866000000104</v>
      </c>
      <c r="J118" s="649">
        <v>74.218659999997996</v>
      </c>
      <c r="K118" s="652">
        <v>1.102514793226</v>
      </c>
    </row>
    <row r="119" spans="1:11" ht="14.4" customHeight="1" thickBot="1" x14ac:dyDescent="0.35">
      <c r="A119" s="667" t="s">
        <v>409</v>
      </c>
      <c r="B119" s="648">
        <v>0</v>
      </c>
      <c r="C119" s="648">
        <v>149.14931999999999</v>
      </c>
      <c r="D119" s="649">
        <v>149.14931999999999</v>
      </c>
      <c r="E119" s="658" t="s">
        <v>298</v>
      </c>
      <c r="F119" s="648">
        <v>6.9868248445779999</v>
      </c>
      <c r="G119" s="649">
        <v>6.9868248445779999</v>
      </c>
      <c r="H119" s="651">
        <v>4.952</v>
      </c>
      <c r="I119" s="648">
        <v>95.320999999999998</v>
      </c>
      <c r="J119" s="649">
        <v>88.334175155420994</v>
      </c>
      <c r="K119" s="652">
        <v>13.642964024489</v>
      </c>
    </row>
    <row r="120" spans="1:11" ht="14.4" customHeight="1" thickBot="1" x14ac:dyDescent="0.35">
      <c r="A120" s="668" t="s">
        <v>410</v>
      </c>
      <c r="B120" s="648">
        <v>0</v>
      </c>
      <c r="C120" s="648">
        <v>149.14931999999999</v>
      </c>
      <c r="D120" s="649">
        <v>149.14931999999999</v>
      </c>
      <c r="E120" s="658" t="s">
        <v>298</v>
      </c>
      <c r="F120" s="648">
        <v>6.9868248445779999</v>
      </c>
      <c r="G120" s="649">
        <v>6.9868248445779999</v>
      </c>
      <c r="H120" s="651">
        <v>4.952</v>
      </c>
      <c r="I120" s="648">
        <v>95.320999999999998</v>
      </c>
      <c r="J120" s="649">
        <v>88.334175155420994</v>
      </c>
      <c r="K120" s="652">
        <v>13.642964024489</v>
      </c>
    </row>
    <row r="121" spans="1:11" ht="14.4" customHeight="1" thickBot="1" x14ac:dyDescent="0.35">
      <c r="A121" s="669" t="s">
        <v>411</v>
      </c>
      <c r="B121" s="653">
        <v>0</v>
      </c>
      <c r="C121" s="653">
        <v>25.492270000000001</v>
      </c>
      <c r="D121" s="654">
        <v>25.492270000000001</v>
      </c>
      <c r="E121" s="655" t="s">
        <v>340</v>
      </c>
      <c r="F121" s="653">
        <v>0</v>
      </c>
      <c r="G121" s="654">
        <v>0</v>
      </c>
      <c r="H121" s="656">
        <v>0</v>
      </c>
      <c r="I121" s="653">
        <v>0</v>
      </c>
      <c r="J121" s="654">
        <v>0</v>
      </c>
      <c r="K121" s="657" t="s">
        <v>298</v>
      </c>
    </row>
    <row r="122" spans="1:11" ht="14.4" customHeight="1" thickBot="1" x14ac:dyDescent="0.35">
      <c r="A122" s="670" t="s">
        <v>412</v>
      </c>
      <c r="B122" s="648">
        <v>0</v>
      </c>
      <c r="C122" s="648">
        <v>25.492270000000001</v>
      </c>
      <c r="D122" s="649">
        <v>25.492270000000001</v>
      </c>
      <c r="E122" s="658" t="s">
        <v>340</v>
      </c>
      <c r="F122" s="648">
        <v>0</v>
      </c>
      <c r="G122" s="649">
        <v>0</v>
      </c>
      <c r="H122" s="651">
        <v>0</v>
      </c>
      <c r="I122" s="648">
        <v>0</v>
      </c>
      <c r="J122" s="649">
        <v>0</v>
      </c>
      <c r="K122" s="659" t="s">
        <v>298</v>
      </c>
    </row>
    <row r="123" spans="1:11" ht="14.4" customHeight="1" thickBot="1" x14ac:dyDescent="0.35">
      <c r="A123" s="669" t="s">
        <v>413</v>
      </c>
      <c r="B123" s="653">
        <v>0</v>
      </c>
      <c r="C123" s="653">
        <v>72.373050000000006</v>
      </c>
      <c r="D123" s="654">
        <v>72.373050000000006</v>
      </c>
      <c r="E123" s="655" t="s">
        <v>298</v>
      </c>
      <c r="F123" s="653">
        <v>0</v>
      </c>
      <c r="G123" s="654">
        <v>0</v>
      </c>
      <c r="H123" s="656">
        <v>4.952</v>
      </c>
      <c r="I123" s="653">
        <v>28.193999999999999</v>
      </c>
      <c r="J123" s="654">
        <v>28.193999999999999</v>
      </c>
      <c r="K123" s="657" t="s">
        <v>298</v>
      </c>
    </row>
    <row r="124" spans="1:11" ht="14.4" customHeight="1" thickBot="1" x14ac:dyDescent="0.35">
      <c r="A124" s="670" t="s">
        <v>414</v>
      </c>
      <c r="B124" s="648">
        <v>0</v>
      </c>
      <c r="C124" s="648">
        <v>0.85304999999999997</v>
      </c>
      <c r="D124" s="649">
        <v>0.85304999999999997</v>
      </c>
      <c r="E124" s="658" t="s">
        <v>298</v>
      </c>
      <c r="F124" s="648">
        <v>0</v>
      </c>
      <c r="G124" s="649">
        <v>0</v>
      </c>
      <c r="H124" s="651">
        <v>0</v>
      </c>
      <c r="I124" s="648">
        <v>0</v>
      </c>
      <c r="J124" s="649">
        <v>0</v>
      </c>
      <c r="K124" s="659" t="s">
        <v>298</v>
      </c>
    </row>
    <row r="125" spans="1:11" ht="14.4" customHeight="1" thickBot="1" x14ac:dyDescent="0.35">
      <c r="A125" s="670" t="s">
        <v>415</v>
      </c>
      <c r="B125" s="648">
        <v>0</v>
      </c>
      <c r="C125" s="648">
        <v>0</v>
      </c>
      <c r="D125" s="649">
        <v>0</v>
      </c>
      <c r="E125" s="658" t="s">
        <v>298</v>
      </c>
      <c r="F125" s="648">
        <v>0</v>
      </c>
      <c r="G125" s="649">
        <v>0</v>
      </c>
      <c r="H125" s="651">
        <v>0</v>
      </c>
      <c r="I125" s="648">
        <v>18.315999999999999</v>
      </c>
      <c r="J125" s="649">
        <v>18.315999999999999</v>
      </c>
      <c r="K125" s="659" t="s">
        <v>340</v>
      </c>
    </row>
    <row r="126" spans="1:11" ht="14.4" customHeight="1" thickBot="1" x14ac:dyDescent="0.35">
      <c r="A126" s="670" t="s">
        <v>416</v>
      </c>
      <c r="B126" s="648">
        <v>0</v>
      </c>
      <c r="C126" s="648">
        <v>71.52</v>
      </c>
      <c r="D126" s="649">
        <v>71.52</v>
      </c>
      <c r="E126" s="658" t="s">
        <v>298</v>
      </c>
      <c r="F126" s="648">
        <v>0</v>
      </c>
      <c r="G126" s="649">
        <v>0</v>
      </c>
      <c r="H126" s="651">
        <v>4.952</v>
      </c>
      <c r="I126" s="648">
        <v>9.7680000000000007</v>
      </c>
      <c r="J126" s="649">
        <v>9.7680000000000007</v>
      </c>
      <c r="K126" s="659" t="s">
        <v>298</v>
      </c>
    </row>
    <row r="127" spans="1:11" ht="14.4" customHeight="1" thickBot="1" x14ac:dyDescent="0.35">
      <c r="A127" s="670" t="s">
        <v>417</v>
      </c>
      <c r="B127" s="648">
        <v>0</v>
      </c>
      <c r="C127" s="648">
        <v>0</v>
      </c>
      <c r="D127" s="649">
        <v>0</v>
      </c>
      <c r="E127" s="650">
        <v>1</v>
      </c>
      <c r="F127" s="648">
        <v>0</v>
      </c>
      <c r="G127" s="649">
        <v>0</v>
      </c>
      <c r="H127" s="651">
        <v>0</v>
      </c>
      <c r="I127" s="648">
        <v>0.11</v>
      </c>
      <c r="J127" s="649">
        <v>0.11</v>
      </c>
      <c r="K127" s="659" t="s">
        <v>340</v>
      </c>
    </row>
    <row r="128" spans="1:11" ht="14.4" customHeight="1" thickBot="1" x14ac:dyDescent="0.35">
      <c r="A128" s="672" t="s">
        <v>418</v>
      </c>
      <c r="B128" s="648">
        <v>0</v>
      </c>
      <c r="C128" s="648">
        <v>42.883999999998998</v>
      </c>
      <c r="D128" s="649">
        <v>42.883999999998998</v>
      </c>
      <c r="E128" s="658" t="s">
        <v>340</v>
      </c>
      <c r="F128" s="648">
        <v>0</v>
      </c>
      <c r="G128" s="649">
        <v>0</v>
      </c>
      <c r="H128" s="651">
        <v>0</v>
      </c>
      <c r="I128" s="648">
        <v>62.682000000000002</v>
      </c>
      <c r="J128" s="649">
        <v>62.682000000000002</v>
      </c>
      <c r="K128" s="659" t="s">
        <v>298</v>
      </c>
    </row>
    <row r="129" spans="1:11" ht="14.4" customHeight="1" thickBot="1" x14ac:dyDescent="0.35">
      <c r="A129" s="670" t="s">
        <v>419</v>
      </c>
      <c r="B129" s="648">
        <v>0</v>
      </c>
      <c r="C129" s="648">
        <v>42.883999999998998</v>
      </c>
      <c r="D129" s="649">
        <v>42.883999999998998</v>
      </c>
      <c r="E129" s="658" t="s">
        <v>340</v>
      </c>
      <c r="F129" s="648">
        <v>0</v>
      </c>
      <c r="G129" s="649">
        <v>0</v>
      </c>
      <c r="H129" s="651">
        <v>0</v>
      </c>
      <c r="I129" s="648">
        <v>62.682000000000002</v>
      </c>
      <c r="J129" s="649">
        <v>62.682000000000002</v>
      </c>
      <c r="K129" s="659" t="s">
        <v>298</v>
      </c>
    </row>
    <row r="130" spans="1:11" ht="14.4" customHeight="1" thickBot="1" x14ac:dyDescent="0.35">
      <c r="A130" s="672" t="s">
        <v>420</v>
      </c>
      <c r="B130" s="648">
        <v>0</v>
      </c>
      <c r="C130" s="648">
        <v>8.4</v>
      </c>
      <c r="D130" s="649">
        <v>8.4</v>
      </c>
      <c r="E130" s="658" t="s">
        <v>298</v>
      </c>
      <c r="F130" s="648">
        <v>6.9868248445779999</v>
      </c>
      <c r="G130" s="649">
        <v>6.9868248445779999</v>
      </c>
      <c r="H130" s="651">
        <v>0</v>
      </c>
      <c r="I130" s="648">
        <v>0</v>
      </c>
      <c r="J130" s="649">
        <v>-6.9868248445779999</v>
      </c>
      <c r="K130" s="652">
        <v>0</v>
      </c>
    </row>
    <row r="131" spans="1:11" ht="14.4" customHeight="1" thickBot="1" x14ac:dyDescent="0.35">
      <c r="A131" s="670" t="s">
        <v>421</v>
      </c>
      <c r="B131" s="648">
        <v>0</v>
      </c>
      <c r="C131" s="648">
        <v>8.4</v>
      </c>
      <c r="D131" s="649">
        <v>8.4</v>
      </c>
      <c r="E131" s="658" t="s">
        <v>298</v>
      </c>
      <c r="F131" s="648">
        <v>6.9868248445779999</v>
      </c>
      <c r="G131" s="649">
        <v>6.9868248445779999</v>
      </c>
      <c r="H131" s="651">
        <v>0</v>
      </c>
      <c r="I131" s="648">
        <v>0</v>
      </c>
      <c r="J131" s="649">
        <v>-6.9868248445779999</v>
      </c>
      <c r="K131" s="652">
        <v>0</v>
      </c>
    </row>
    <row r="132" spans="1:11" ht="14.4" customHeight="1" thickBot="1" x14ac:dyDescent="0.35">
      <c r="A132" s="672" t="s">
        <v>422</v>
      </c>
      <c r="B132" s="648">
        <v>0</v>
      </c>
      <c r="C132" s="648">
        <v>0</v>
      </c>
      <c r="D132" s="649">
        <v>0</v>
      </c>
      <c r="E132" s="658" t="s">
        <v>298</v>
      </c>
      <c r="F132" s="648">
        <v>0</v>
      </c>
      <c r="G132" s="649">
        <v>0</v>
      </c>
      <c r="H132" s="651">
        <v>0</v>
      </c>
      <c r="I132" s="648">
        <v>4.4450000000000003</v>
      </c>
      <c r="J132" s="649">
        <v>4.4450000000000003</v>
      </c>
      <c r="K132" s="659" t="s">
        <v>340</v>
      </c>
    </row>
    <row r="133" spans="1:11" ht="14.4" customHeight="1" thickBot="1" x14ac:dyDescent="0.35">
      <c r="A133" s="670" t="s">
        <v>423</v>
      </c>
      <c r="B133" s="648">
        <v>0</v>
      </c>
      <c r="C133" s="648">
        <v>0</v>
      </c>
      <c r="D133" s="649">
        <v>0</v>
      </c>
      <c r="E133" s="658" t="s">
        <v>298</v>
      </c>
      <c r="F133" s="648">
        <v>0</v>
      </c>
      <c r="G133" s="649">
        <v>0</v>
      </c>
      <c r="H133" s="651">
        <v>0</v>
      </c>
      <c r="I133" s="648">
        <v>4.4450000000000003</v>
      </c>
      <c r="J133" s="649">
        <v>4.4450000000000003</v>
      </c>
      <c r="K133" s="659" t="s">
        <v>340</v>
      </c>
    </row>
    <row r="134" spans="1:11" ht="14.4" customHeight="1" thickBot="1" x14ac:dyDescent="0.35">
      <c r="A134" s="667" t="s">
        <v>424</v>
      </c>
      <c r="B134" s="648">
        <v>1891</v>
      </c>
      <c r="C134" s="648">
        <v>1807.51387</v>
      </c>
      <c r="D134" s="649">
        <v>-83.486130000003001</v>
      </c>
      <c r="E134" s="650">
        <v>0.95585080380700005</v>
      </c>
      <c r="F134" s="648">
        <v>2064.7339460255498</v>
      </c>
      <c r="G134" s="649">
        <v>2064.7339460255498</v>
      </c>
      <c r="H134" s="651">
        <v>189.267660000001</v>
      </c>
      <c r="I134" s="648">
        <v>2076.2552000000001</v>
      </c>
      <c r="J134" s="649">
        <v>11.521253974457</v>
      </c>
      <c r="K134" s="652">
        <v>1.005580018673</v>
      </c>
    </row>
    <row r="135" spans="1:11" ht="14.4" customHeight="1" thickBot="1" x14ac:dyDescent="0.35">
      <c r="A135" s="668" t="s">
        <v>425</v>
      </c>
      <c r="B135" s="648">
        <v>1884</v>
      </c>
      <c r="C135" s="648">
        <v>1734.9929999999999</v>
      </c>
      <c r="D135" s="649">
        <v>-149.00700000000299</v>
      </c>
      <c r="E135" s="650">
        <v>0.92090923566799998</v>
      </c>
      <c r="F135" s="648">
        <v>1843.73394602555</v>
      </c>
      <c r="G135" s="649">
        <v>1843.73394602555</v>
      </c>
      <c r="H135" s="651">
        <v>178.41400000000101</v>
      </c>
      <c r="I135" s="648">
        <v>1833.45</v>
      </c>
      <c r="J135" s="649">
        <v>-10.283946025543001</v>
      </c>
      <c r="K135" s="652">
        <v>0.99442221799499997</v>
      </c>
    </row>
    <row r="136" spans="1:11" ht="14.4" customHeight="1" thickBot="1" x14ac:dyDescent="0.35">
      <c r="A136" s="669" t="s">
        <v>426</v>
      </c>
      <c r="B136" s="653">
        <v>1884</v>
      </c>
      <c r="C136" s="653">
        <v>1734.9929999999999</v>
      </c>
      <c r="D136" s="654">
        <v>-149.00700000000299</v>
      </c>
      <c r="E136" s="660">
        <v>0.92090923566799998</v>
      </c>
      <c r="F136" s="653">
        <v>1843.73394602555</v>
      </c>
      <c r="G136" s="654">
        <v>1843.73394602555</v>
      </c>
      <c r="H136" s="656">
        <v>178.41400000000101</v>
      </c>
      <c r="I136" s="653">
        <v>1828.8209999999999</v>
      </c>
      <c r="J136" s="654">
        <v>-14.912946025543</v>
      </c>
      <c r="K136" s="661">
        <v>0.99191155206600001</v>
      </c>
    </row>
    <row r="137" spans="1:11" ht="14.4" customHeight="1" thickBot="1" x14ac:dyDescent="0.35">
      <c r="A137" s="670" t="s">
        <v>427</v>
      </c>
      <c r="B137" s="648">
        <v>78</v>
      </c>
      <c r="C137" s="648">
        <v>78.736999999999995</v>
      </c>
      <c r="D137" s="649">
        <v>0.73699999999900001</v>
      </c>
      <c r="E137" s="650">
        <v>1.0094487179480001</v>
      </c>
      <c r="F137" s="648">
        <v>83.564504692876</v>
      </c>
      <c r="G137" s="649">
        <v>83.564504692876</v>
      </c>
      <c r="H137" s="651">
        <v>7.1029999999999998</v>
      </c>
      <c r="I137" s="648">
        <v>85.21</v>
      </c>
      <c r="J137" s="649">
        <v>1.6454953071230001</v>
      </c>
      <c r="K137" s="652">
        <v>1.0196913188579999</v>
      </c>
    </row>
    <row r="138" spans="1:11" ht="14.4" customHeight="1" thickBot="1" x14ac:dyDescent="0.35">
      <c r="A138" s="670" t="s">
        <v>428</v>
      </c>
      <c r="B138" s="648">
        <v>1193</v>
      </c>
      <c r="C138" s="648">
        <v>1043.3309999999999</v>
      </c>
      <c r="D138" s="649">
        <v>-149.669000000002</v>
      </c>
      <c r="E138" s="650">
        <v>0.87454400670499999</v>
      </c>
      <c r="F138" s="648">
        <v>1108.80628571441</v>
      </c>
      <c r="G138" s="649">
        <v>1108.80628571441</v>
      </c>
      <c r="H138" s="651">
        <v>64.908000000000001</v>
      </c>
      <c r="I138" s="648">
        <v>885.54600000000096</v>
      </c>
      <c r="J138" s="649">
        <v>-223.26028571440401</v>
      </c>
      <c r="K138" s="652">
        <v>0.79864806991899995</v>
      </c>
    </row>
    <row r="139" spans="1:11" ht="14.4" customHeight="1" thickBot="1" x14ac:dyDescent="0.35">
      <c r="A139" s="670" t="s">
        <v>429</v>
      </c>
      <c r="B139" s="648">
        <v>604.00000000000102</v>
      </c>
      <c r="C139" s="648">
        <v>604.41499999999996</v>
      </c>
      <c r="D139" s="649">
        <v>0.414999999999</v>
      </c>
      <c r="E139" s="650">
        <v>1.0006870860920001</v>
      </c>
      <c r="F139" s="648">
        <v>642.31910201357903</v>
      </c>
      <c r="G139" s="649">
        <v>642.31910201357903</v>
      </c>
      <c r="H139" s="651">
        <v>50.506</v>
      </c>
      <c r="I139" s="648">
        <v>606.06700000000103</v>
      </c>
      <c r="J139" s="649">
        <v>-36.252102013578003</v>
      </c>
      <c r="K139" s="652">
        <v>0.94356060422300003</v>
      </c>
    </row>
    <row r="140" spans="1:11" ht="14.4" customHeight="1" thickBot="1" x14ac:dyDescent="0.35">
      <c r="A140" s="670" t="s">
        <v>430</v>
      </c>
      <c r="B140" s="648">
        <v>9</v>
      </c>
      <c r="C140" s="648">
        <v>8.51</v>
      </c>
      <c r="D140" s="649">
        <v>-0.49</v>
      </c>
      <c r="E140" s="650">
        <v>0.94555555555500004</v>
      </c>
      <c r="F140" s="648">
        <v>9.0440536046840005</v>
      </c>
      <c r="G140" s="649">
        <v>9.0440536046840005</v>
      </c>
      <c r="H140" s="651">
        <v>55.896999999999998</v>
      </c>
      <c r="I140" s="648">
        <v>251.99800000000101</v>
      </c>
      <c r="J140" s="649">
        <v>242.953946395316</v>
      </c>
      <c r="K140" s="652">
        <v>27.863390799613999</v>
      </c>
    </row>
    <row r="141" spans="1:11" ht="14.4" customHeight="1" thickBot="1" x14ac:dyDescent="0.35">
      <c r="A141" s="669" t="s">
        <v>431</v>
      </c>
      <c r="B141" s="653">
        <v>0</v>
      </c>
      <c r="C141" s="653">
        <v>0</v>
      </c>
      <c r="D141" s="654">
        <v>0</v>
      </c>
      <c r="E141" s="660">
        <v>1</v>
      </c>
      <c r="F141" s="653">
        <v>0</v>
      </c>
      <c r="G141" s="654">
        <v>0</v>
      </c>
      <c r="H141" s="656">
        <v>0</v>
      </c>
      <c r="I141" s="653">
        <v>4.6289999999999996</v>
      </c>
      <c r="J141" s="654">
        <v>4.6289999999999996</v>
      </c>
      <c r="K141" s="657" t="s">
        <v>340</v>
      </c>
    </row>
    <row r="142" spans="1:11" ht="14.4" customHeight="1" thickBot="1" x14ac:dyDescent="0.35">
      <c r="A142" s="670" t="s">
        <v>432</v>
      </c>
      <c r="B142" s="648">
        <v>0</v>
      </c>
      <c r="C142" s="648">
        <v>0</v>
      </c>
      <c r="D142" s="649">
        <v>0</v>
      </c>
      <c r="E142" s="650">
        <v>1</v>
      </c>
      <c r="F142" s="648">
        <v>0</v>
      </c>
      <c r="G142" s="649">
        <v>0</v>
      </c>
      <c r="H142" s="651">
        <v>0</v>
      </c>
      <c r="I142" s="648">
        <v>1.95</v>
      </c>
      <c r="J142" s="649">
        <v>1.95</v>
      </c>
      <c r="K142" s="659" t="s">
        <v>340</v>
      </c>
    </row>
    <row r="143" spans="1:11" ht="14.4" customHeight="1" thickBot="1" x14ac:dyDescent="0.35">
      <c r="A143" s="670" t="s">
        <v>433</v>
      </c>
      <c r="B143" s="648">
        <v>0</v>
      </c>
      <c r="C143" s="648">
        <v>0</v>
      </c>
      <c r="D143" s="649">
        <v>0</v>
      </c>
      <c r="E143" s="650">
        <v>1</v>
      </c>
      <c r="F143" s="648">
        <v>0</v>
      </c>
      <c r="G143" s="649">
        <v>0</v>
      </c>
      <c r="H143" s="651">
        <v>0</v>
      </c>
      <c r="I143" s="648">
        <v>2.6789999999999998</v>
      </c>
      <c r="J143" s="649">
        <v>2.6789999999999998</v>
      </c>
      <c r="K143" s="659" t="s">
        <v>340</v>
      </c>
    </row>
    <row r="144" spans="1:11" ht="14.4" customHeight="1" thickBot="1" x14ac:dyDescent="0.35">
      <c r="A144" s="668" t="s">
        <v>434</v>
      </c>
      <c r="B144" s="648">
        <v>7</v>
      </c>
      <c r="C144" s="648">
        <v>72.520870000000002</v>
      </c>
      <c r="D144" s="649">
        <v>65.520870000000002</v>
      </c>
      <c r="E144" s="650">
        <v>10.360124285714001</v>
      </c>
      <c r="F144" s="648">
        <v>221</v>
      </c>
      <c r="G144" s="649">
        <v>221</v>
      </c>
      <c r="H144" s="651">
        <v>10.85366</v>
      </c>
      <c r="I144" s="648">
        <v>242.80520000000001</v>
      </c>
      <c r="J144" s="649">
        <v>21.805199999999999</v>
      </c>
      <c r="K144" s="652">
        <v>1.0986660633480001</v>
      </c>
    </row>
    <row r="145" spans="1:11" ht="14.4" customHeight="1" thickBot="1" x14ac:dyDescent="0.35">
      <c r="A145" s="669" t="s">
        <v>435</v>
      </c>
      <c r="B145" s="653">
        <v>7</v>
      </c>
      <c r="C145" s="653">
        <v>3.2549000000000001</v>
      </c>
      <c r="D145" s="654">
        <v>-3.7450999999989998</v>
      </c>
      <c r="E145" s="660">
        <v>0.46498571428500002</v>
      </c>
      <c r="F145" s="653">
        <v>221</v>
      </c>
      <c r="G145" s="654">
        <v>221</v>
      </c>
      <c r="H145" s="656">
        <v>10.85366</v>
      </c>
      <c r="I145" s="653">
        <v>211.22966</v>
      </c>
      <c r="J145" s="654">
        <v>-9.7703399999990008</v>
      </c>
      <c r="K145" s="661">
        <v>0.95579031674199999</v>
      </c>
    </row>
    <row r="146" spans="1:11" ht="14.4" customHeight="1" thickBot="1" x14ac:dyDescent="0.35">
      <c r="A146" s="670" t="s">
        <v>436</v>
      </c>
      <c r="B146" s="648">
        <v>7</v>
      </c>
      <c r="C146" s="648">
        <v>3.2549000000000001</v>
      </c>
      <c r="D146" s="649">
        <v>-3.7450999999989998</v>
      </c>
      <c r="E146" s="650">
        <v>0.46498571428500002</v>
      </c>
      <c r="F146" s="648">
        <v>221</v>
      </c>
      <c r="G146" s="649">
        <v>221</v>
      </c>
      <c r="H146" s="651">
        <v>10.85366</v>
      </c>
      <c r="I146" s="648">
        <v>211.22966</v>
      </c>
      <c r="J146" s="649">
        <v>-9.7703399999990008</v>
      </c>
      <c r="K146" s="652">
        <v>0.95579031674199999</v>
      </c>
    </row>
    <row r="147" spans="1:11" ht="14.4" customHeight="1" thickBot="1" x14ac:dyDescent="0.35">
      <c r="A147" s="669" t="s">
        <v>437</v>
      </c>
      <c r="B147" s="653">
        <v>0</v>
      </c>
      <c r="C147" s="653">
        <v>31.86908</v>
      </c>
      <c r="D147" s="654">
        <v>31.86908</v>
      </c>
      <c r="E147" s="655" t="s">
        <v>298</v>
      </c>
      <c r="F147" s="653">
        <v>0</v>
      </c>
      <c r="G147" s="654">
        <v>0</v>
      </c>
      <c r="H147" s="656">
        <v>0</v>
      </c>
      <c r="I147" s="653">
        <v>3.0559799999999999</v>
      </c>
      <c r="J147" s="654">
        <v>3.0559799999999999</v>
      </c>
      <c r="K147" s="657" t="s">
        <v>298</v>
      </c>
    </row>
    <row r="148" spans="1:11" ht="14.4" customHeight="1" thickBot="1" x14ac:dyDescent="0.35">
      <c r="A148" s="670" t="s">
        <v>438</v>
      </c>
      <c r="B148" s="648">
        <v>0</v>
      </c>
      <c r="C148" s="648">
        <v>12.087999999999999</v>
      </c>
      <c r="D148" s="649">
        <v>12.087999999999999</v>
      </c>
      <c r="E148" s="658" t="s">
        <v>298</v>
      </c>
      <c r="F148" s="648">
        <v>0</v>
      </c>
      <c r="G148" s="649">
        <v>0</v>
      </c>
      <c r="H148" s="651">
        <v>0</v>
      </c>
      <c r="I148" s="648">
        <v>0</v>
      </c>
      <c r="J148" s="649">
        <v>0</v>
      </c>
      <c r="K148" s="659" t="s">
        <v>298</v>
      </c>
    </row>
    <row r="149" spans="1:11" ht="14.4" customHeight="1" thickBot="1" x14ac:dyDescent="0.35">
      <c r="A149" s="670" t="s">
        <v>439</v>
      </c>
      <c r="B149" s="648">
        <v>0</v>
      </c>
      <c r="C149" s="648">
        <v>0</v>
      </c>
      <c r="D149" s="649">
        <v>0</v>
      </c>
      <c r="E149" s="650">
        <v>1</v>
      </c>
      <c r="F149" s="648">
        <v>0</v>
      </c>
      <c r="G149" s="649">
        <v>0</v>
      </c>
      <c r="H149" s="651">
        <v>0</v>
      </c>
      <c r="I149" s="648">
        <v>3.0559799999999999</v>
      </c>
      <c r="J149" s="649">
        <v>3.0559799999999999</v>
      </c>
      <c r="K149" s="659" t="s">
        <v>340</v>
      </c>
    </row>
    <row r="150" spans="1:11" ht="14.4" customHeight="1" thickBot="1" x14ac:dyDescent="0.35">
      <c r="A150" s="670" t="s">
        <v>440</v>
      </c>
      <c r="B150" s="648">
        <v>0</v>
      </c>
      <c r="C150" s="648">
        <v>19.781079999999999</v>
      </c>
      <c r="D150" s="649">
        <v>19.781079999999999</v>
      </c>
      <c r="E150" s="658" t="s">
        <v>340</v>
      </c>
      <c r="F150" s="648">
        <v>0</v>
      </c>
      <c r="G150" s="649">
        <v>0</v>
      </c>
      <c r="H150" s="651">
        <v>0</v>
      </c>
      <c r="I150" s="648">
        <v>0</v>
      </c>
      <c r="J150" s="649">
        <v>0</v>
      </c>
      <c r="K150" s="659" t="s">
        <v>298</v>
      </c>
    </row>
    <row r="151" spans="1:11" ht="14.4" customHeight="1" thickBot="1" x14ac:dyDescent="0.35">
      <c r="A151" s="669" t="s">
        <v>441</v>
      </c>
      <c r="B151" s="653">
        <v>0</v>
      </c>
      <c r="C151" s="653">
        <v>0</v>
      </c>
      <c r="D151" s="654">
        <v>0</v>
      </c>
      <c r="E151" s="660">
        <v>1</v>
      </c>
      <c r="F151" s="653">
        <v>0</v>
      </c>
      <c r="G151" s="654">
        <v>0</v>
      </c>
      <c r="H151" s="656">
        <v>0</v>
      </c>
      <c r="I151" s="653">
        <v>4.5617000000000001</v>
      </c>
      <c r="J151" s="654">
        <v>4.5617000000000001</v>
      </c>
      <c r="K151" s="657" t="s">
        <v>340</v>
      </c>
    </row>
    <row r="152" spans="1:11" ht="14.4" customHeight="1" thickBot="1" x14ac:dyDescent="0.35">
      <c r="A152" s="670" t="s">
        <v>442</v>
      </c>
      <c r="B152" s="648">
        <v>0</v>
      </c>
      <c r="C152" s="648">
        <v>0</v>
      </c>
      <c r="D152" s="649">
        <v>0</v>
      </c>
      <c r="E152" s="650">
        <v>1</v>
      </c>
      <c r="F152" s="648">
        <v>0</v>
      </c>
      <c r="G152" s="649">
        <v>0</v>
      </c>
      <c r="H152" s="651">
        <v>0</v>
      </c>
      <c r="I152" s="648">
        <v>4.5617000000000001</v>
      </c>
      <c r="J152" s="649">
        <v>4.5617000000000001</v>
      </c>
      <c r="K152" s="659" t="s">
        <v>340</v>
      </c>
    </row>
    <row r="153" spans="1:11" ht="14.4" customHeight="1" thickBot="1" x14ac:dyDescent="0.35">
      <c r="A153" s="669" t="s">
        <v>443</v>
      </c>
      <c r="B153" s="653">
        <v>0</v>
      </c>
      <c r="C153" s="653">
        <v>16.299330000000001</v>
      </c>
      <c r="D153" s="654">
        <v>16.299330000000001</v>
      </c>
      <c r="E153" s="655" t="s">
        <v>340</v>
      </c>
      <c r="F153" s="653">
        <v>0</v>
      </c>
      <c r="G153" s="654">
        <v>0</v>
      </c>
      <c r="H153" s="656">
        <v>0</v>
      </c>
      <c r="I153" s="653">
        <v>23.95786</v>
      </c>
      <c r="J153" s="654">
        <v>23.95786</v>
      </c>
      <c r="K153" s="657" t="s">
        <v>298</v>
      </c>
    </row>
    <row r="154" spans="1:11" ht="14.4" customHeight="1" thickBot="1" x14ac:dyDescent="0.35">
      <c r="A154" s="670" t="s">
        <v>444</v>
      </c>
      <c r="B154" s="648">
        <v>0</v>
      </c>
      <c r="C154" s="648">
        <v>16.299330000000001</v>
      </c>
      <c r="D154" s="649">
        <v>16.299330000000001</v>
      </c>
      <c r="E154" s="658" t="s">
        <v>340</v>
      </c>
      <c r="F154" s="648">
        <v>0</v>
      </c>
      <c r="G154" s="649">
        <v>0</v>
      </c>
      <c r="H154" s="651">
        <v>0</v>
      </c>
      <c r="I154" s="648">
        <v>23.95786</v>
      </c>
      <c r="J154" s="649">
        <v>23.95786</v>
      </c>
      <c r="K154" s="659" t="s">
        <v>298</v>
      </c>
    </row>
    <row r="155" spans="1:11" ht="14.4" customHeight="1" thickBot="1" x14ac:dyDescent="0.35">
      <c r="A155" s="669" t="s">
        <v>445</v>
      </c>
      <c r="B155" s="653">
        <v>0</v>
      </c>
      <c r="C155" s="653">
        <v>21.097560000000001</v>
      </c>
      <c r="D155" s="654">
        <v>21.097560000000001</v>
      </c>
      <c r="E155" s="655" t="s">
        <v>340</v>
      </c>
      <c r="F155" s="653">
        <v>0</v>
      </c>
      <c r="G155" s="654">
        <v>0</v>
      </c>
      <c r="H155" s="656">
        <v>0</v>
      </c>
      <c r="I155" s="653">
        <v>0</v>
      </c>
      <c r="J155" s="654">
        <v>0</v>
      </c>
      <c r="K155" s="657" t="s">
        <v>298</v>
      </c>
    </row>
    <row r="156" spans="1:11" ht="14.4" customHeight="1" thickBot="1" x14ac:dyDescent="0.35">
      <c r="A156" s="670" t="s">
        <v>446</v>
      </c>
      <c r="B156" s="648">
        <v>0</v>
      </c>
      <c r="C156" s="648">
        <v>21.097560000000001</v>
      </c>
      <c r="D156" s="649">
        <v>21.097560000000001</v>
      </c>
      <c r="E156" s="658" t="s">
        <v>340</v>
      </c>
      <c r="F156" s="648">
        <v>0</v>
      </c>
      <c r="G156" s="649">
        <v>0</v>
      </c>
      <c r="H156" s="651">
        <v>0</v>
      </c>
      <c r="I156" s="648">
        <v>0</v>
      </c>
      <c r="J156" s="649">
        <v>0</v>
      </c>
      <c r="K156" s="659" t="s">
        <v>298</v>
      </c>
    </row>
    <row r="157" spans="1:11" ht="14.4" customHeight="1" thickBot="1" x14ac:dyDescent="0.35">
      <c r="A157" s="667" t="s">
        <v>447</v>
      </c>
      <c r="B157" s="648">
        <v>0</v>
      </c>
      <c r="C157" s="648">
        <v>0.19875000000000001</v>
      </c>
      <c r="D157" s="649">
        <v>0.19875000000000001</v>
      </c>
      <c r="E157" s="658" t="s">
        <v>298</v>
      </c>
      <c r="F157" s="648">
        <v>0</v>
      </c>
      <c r="G157" s="649">
        <v>0</v>
      </c>
      <c r="H157" s="651">
        <v>0</v>
      </c>
      <c r="I157" s="648">
        <v>0</v>
      </c>
      <c r="J157" s="649">
        <v>0</v>
      </c>
      <c r="K157" s="659" t="s">
        <v>298</v>
      </c>
    </row>
    <row r="158" spans="1:11" ht="14.4" customHeight="1" thickBot="1" x14ac:dyDescent="0.35">
      <c r="A158" s="668" t="s">
        <v>448</v>
      </c>
      <c r="B158" s="648">
        <v>0</v>
      </c>
      <c r="C158" s="648">
        <v>0.19875000000000001</v>
      </c>
      <c r="D158" s="649">
        <v>0.19875000000000001</v>
      </c>
      <c r="E158" s="658" t="s">
        <v>298</v>
      </c>
      <c r="F158" s="648">
        <v>0</v>
      </c>
      <c r="G158" s="649">
        <v>0</v>
      </c>
      <c r="H158" s="651">
        <v>0</v>
      </c>
      <c r="I158" s="648">
        <v>0</v>
      </c>
      <c r="J158" s="649">
        <v>0</v>
      </c>
      <c r="K158" s="659" t="s">
        <v>298</v>
      </c>
    </row>
    <row r="159" spans="1:11" ht="14.4" customHeight="1" thickBot="1" x14ac:dyDescent="0.35">
      <c r="A159" s="669" t="s">
        <v>449</v>
      </c>
      <c r="B159" s="653">
        <v>0</v>
      </c>
      <c r="C159" s="653">
        <v>0.19875000000000001</v>
      </c>
      <c r="D159" s="654">
        <v>0.19875000000000001</v>
      </c>
      <c r="E159" s="655" t="s">
        <v>298</v>
      </c>
      <c r="F159" s="653">
        <v>0</v>
      </c>
      <c r="G159" s="654">
        <v>0</v>
      </c>
      <c r="H159" s="656">
        <v>0</v>
      </c>
      <c r="I159" s="653">
        <v>0</v>
      </c>
      <c r="J159" s="654">
        <v>0</v>
      </c>
      <c r="K159" s="657" t="s">
        <v>298</v>
      </c>
    </row>
    <row r="160" spans="1:11" ht="14.4" customHeight="1" thickBot="1" x14ac:dyDescent="0.35">
      <c r="A160" s="670" t="s">
        <v>450</v>
      </c>
      <c r="B160" s="648">
        <v>0</v>
      </c>
      <c r="C160" s="648">
        <v>0.19875000000000001</v>
      </c>
      <c r="D160" s="649">
        <v>0.19875000000000001</v>
      </c>
      <c r="E160" s="658" t="s">
        <v>298</v>
      </c>
      <c r="F160" s="648">
        <v>0</v>
      </c>
      <c r="G160" s="649">
        <v>0</v>
      </c>
      <c r="H160" s="651">
        <v>0</v>
      </c>
      <c r="I160" s="648">
        <v>0</v>
      </c>
      <c r="J160" s="649">
        <v>0</v>
      </c>
      <c r="K160" s="659" t="s">
        <v>298</v>
      </c>
    </row>
    <row r="161" spans="1:11" ht="14.4" customHeight="1" thickBot="1" x14ac:dyDescent="0.35">
      <c r="A161" s="666" t="s">
        <v>451</v>
      </c>
      <c r="B161" s="648">
        <v>59474.163704009501</v>
      </c>
      <c r="C161" s="648">
        <v>60959.725689999999</v>
      </c>
      <c r="D161" s="649">
        <v>1485.56198599047</v>
      </c>
      <c r="E161" s="650">
        <v>1.0249782744880001</v>
      </c>
      <c r="F161" s="648">
        <v>60232.844120243899</v>
      </c>
      <c r="G161" s="649">
        <v>60232.844120243899</v>
      </c>
      <c r="H161" s="651">
        <v>5756.8524800000096</v>
      </c>
      <c r="I161" s="648">
        <v>71805.293969999999</v>
      </c>
      <c r="J161" s="649">
        <v>11572.4498497561</v>
      </c>
      <c r="K161" s="652">
        <v>1.192128564054</v>
      </c>
    </row>
    <row r="162" spans="1:11" ht="14.4" customHeight="1" thickBot="1" x14ac:dyDescent="0.35">
      <c r="A162" s="667" t="s">
        <v>452</v>
      </c>
      <c r="B162" s="648">
        <v>59455.4566901855</v>
      </c>
      <c r="C162" s="648">
        <v>60346.862690000002</v>
      </c>
      <c r="D162" s="649">
        <v>891.40599981454602</v>
      </c>
      <c r="E162" s="650">
        <v>1.014992837486</v>
      </c>
      <c r="F162" s="648">
        <v>60214.172033388801</v>
      </c>
      <c r="G162" s="649">
        <v>60214.172033388801</v>
      </c>
      <c r="H162" s="651">
        <v>5756.8524200000102</v>
      </c>
      <c r="I162" s="648">
        <v>71789.069829999993</v>
      </c>
      <c r="J162" s="649">
        <v>11574.8977966112</v>
      </c>
      <c r="K162" s="652">
        <v>1.1922287960739999</v>
      </c>
    </row>
    <row r="163" spans="1:11" ht="14.4" customHeight="1" thickBot="1" x14ac:dyDescent="0.35">
      <c r="A163" s="668" t="s">
        <v>453</v>
      </c>
      <c r="B163" s="648">
        <v>59455.4566901855</v>
      </c>
      <c r="C163" s="648">
        <v>60346.862690000002</v>
      </c>
      <c r="D163" s="649">
        <v>891.40599981454602</v>
      </c>
      <c r="E163" s="650">
        <v>1.014992837486</v>
      </c>
      <c r="F163" s="648">
        <v>60214.172033388801</v>
      </c>
      <c r="G163" s="649">
        <v>60214.172033388801</v>
      </c>
      <c r="H163" s="651">
        <v>5756.8524200000102</v>
      </c>
      <c r="I163" s="648">
        <v>71789.069829999993</v>
      </c>
      <c r="J163" s="649">
        <v>11574.8977966112</v>
      </c>
      <c r="K163" s="652">
        <v>1.1922287960739999</v>
      </c>
    </row>
    <row r="164" spans="1:11" ht="14.4" customHeight="1" thickBot="1" x14ac:dyDescent="0.35">
      <c r="A164" s="669" t="s">
        <v>454</v>
      </c>
      <c r="B164" s="653">
        <v>0.45669018547099999</v>
      </c>
      <c r="C164" s="653">
        <v>0.61982999999999999</v>
      </c>
      <c r="D164" s="654">
        <v>0.163139814528</v>
      </c>
      <c r="E164" s="660">
        <v>1.3572220724649999</v>
      </c>
      <c r="F164" s="653">
        <v>0.63895173707599995</v>
      </c>
      <c r="G164" s="654">
        <v>0.63895173707599995</v>
      </c>
      <c r="H164" s="656">
        <v>47.602670000000003</v>
      </c>
      <c r="I164" s="653">
        <v>142.87826999999999</v>
      </c>
      <c r="J164" s="654">
        <v>142.23931826292301</v>
      </c>
      <c r="K164" s="661">
        <v>223.61355593722399</v>
      </c>
    </row>
    <row r="165" spans="1:11" ht="14.4" customHeight="1" thickBot="1" x14ac:dyDescent="0.35">
      <c r="A165" s="670" t="s">
        <v>455</v>
      </c>
      <c r="B165" s="648">
        <v>5.2582380115000001E-2</v>
      </c>
      <c r="C165" s="648">
        <v>0.15290000000000001</v>
      </c>
      <c r="D165" s="649">
        <v>0.10031761988399999</v>
      </c>
      <c r="E165" s="650">
        <v>2.9078181638589999</v>
      </c>
      <c r="F165" s="648">
        <v>0.15219494975100001</v>
      </c>
      <c r="G165" s="649">
        <v>0.15219494975100001</v>
      </c>
      <c r="H165" s="651">
        <v>0</v>
      </c>
      <c r="I165" s="648">
        <v>0.22644</v>
      </c>
      <c r="J165" s="649">
        <v>7.4245050248000002E-2</v>
      </c>
      <c r="K165" s="652">
        <v>1.4878286064670001</v>
      </c>
    </row>
    <row r="166" spans="1:11" ht="14.4" customHeight="1" thickBot="1" x14ac:dyDescent="0.35">
      <c r="A166" s="670" t="s">
        <v>456</v>
      </c>
      <c r="B166" s="648">
        <v>0.34028465039299999</v>
      </c>
      <c r="C166" s="648">
        <v>0</v>
      </c>
      <c r="D166" s="649">
        <v>-0.34028465039299999</v>
      </c>
      <c r="E166" s="650">
        <v>0</v>
      </c>
      <c r="F166" s="648">
        <v>0</v>
      </c>
      <c r="G166" s="649">
        <v>0</v>
      </c>
      <c r="H166" s="651">
        <v>8.8999999999999996E-2</v>
      </c>
      <c r="I166" s="648">
        <v>0.44600000000000001</v>
      </c>
      <c r="J166" s="649">
        <v>0.44600000000000001</v>
      </c>
      <c r="K166" s="659" t="s">
        <v>340</v>
      </c>
    </row>
    <row r="167" spans="1:11" ht="14.4" customHeight="1" thickBot="1" x14ac:dyDescent="0.35">
      <c r="A167" s="670" t="s">
        <v>457</v>
      </c>
      <c r="B167" s="648">
        <v>0</v>
      </c>
      <c r="C167" s="648">
        <v>0</v>
      </c>
      <c r="D167" s="649">
        <v>0</v>
      </c>
      <c r="E167" s="650">
        <v>1</v>
      </c>
      <c r="F167" s="648">
        <v>0</v>
      </c>
      <c r="G167" s="649">
        <v>0</v>
      </c>
      <c r="H167" s="651">
        <v>47.513669999999998</v>
      </c>
      <c r="I167" s="648">
        <v>141.81163000000001</v>
      </c>
      <c r="J167" s="649">
        <v>141.81163000000001</v>
      </c>
      <c r="K167" s="659" t="s">
        <v>340</v>
      </c>
    </row>
    <row r="168" spans="1:11" ht="14.4" customHeight="1" thickBot="1" x14ac:dyDescent="0.35">
      <c r="A168" s="670" t="s">
        <v>458</v>
      </c>
      <c r="B168" s="648">
        <v>6.3823154960999995E-2</v>
      </c>
      <c r="C168" s="648">
        <v>0.46693000000000001</v>
      </c>
      <c r="D168" s="649">
        <v>0.40310684503799998</v>
      </c>
      <c r="E168" s="650">
        <v>7.3159968396970001</v>
      </c>
      <c r="F168" s="648">
        <v>0.486756787325</v>
      </c>
      <c r="G168" s="649">
        <v>0.486756787325</v>
      </c>
      <c r="H168" s="651">
        <v>0</v>
      </c>
      <c r="I168" s="648">
        <v>0.39419999999999999</v>
      </c>
      <c r="J168" s="649">
        <v>-9.2556787325000001E-2</v>
      </c>
      <c r="K168" s="652">
        <v>0.80985003242800002</v>
      </c>
    </row>
    <row r="169" spans="1:11" ht="14.4" customHeight="1" thickBot="1" x14ac:dyDescent="0.35">
      <c r="A169" s="669" t="s">
        <v>459</v>
      </c>
      <c r="B169" s="653">
        <v>167</v>
      </c>
      <c r="C169" s="653">
        <v>0</v>
      </c>
      <c r="D169" s="654">
        <v>-167</v>
      </c>
      <c r="E169" s="660">
        <v>0</v>
      </c>
      <c r="F169" s="653">
        <v>426.73732728037101</v>
      </c>
      <c r="G169" s="654">
        <v>426.73732728037101</v>
      </c>
      <c r="H169" s="656">
        <v>1.3289</v>
      </c>
      <c r="I169" s="653">
        <v>445.29054000000002</v>
      </c>
      <c r="J169" s="654">
        <v>18.553212719628998</v>
      </c>
      <c r="K169" s="661">
        <v>1.043476892068</v>
      </c>
    </row>
    <row r="170" spans="1:11" ht="14.4" customHeight="1" thickBot="1" x14ac:dyDescent="0.35">
      <c r="A170" s="670" t="s">
        <v>460</v>
      </c>
      <c r="B170" s="648">
        <v>167</v>
      </c>
      <c r="C170" s="648">
        <v>0</v>
      </c>
      <c r="D170" s="649">
        <v>-167</v>
      </c>
      <c r="E170" s="650">
        <v>0</v>
      </c>
      <c r="F170" s="648">
        <v>426.73732728037101</v>
      </c>
      <c r="G170" s="649">
        <v>426.73732728037101</v>
      </c>
      <c r="H170" s="651">
        <v>1.3289</v>
      </c>
      <c r="I170" s="648">
        <v>445.29054000000002</v>
      </c>
      <c r="J170" s="649">
        <v>18.553212719628998</v>
      </c>
      <c r="K170" s="652">
        <v>1.043476892068</v>
      </c>
    </row>
    <row r="171" spans="1:11" ht="14.4" customHeight="1" thickBot="1" x14ac:dyDescent="0.35">
      <c r="A171" s="672" t="s">
        <v>461</v>
      </c>
      <c r="B171" s="648">
        <v>0</v>
      </c>
      <c r="C171" s="648">
        <v>54.320659999999997</v>
      </c>
      <c r="D171" s="649">
        <v>54.320659999999997</v>
      </c>
      <c r="E171" s="658" t="s">
        <v>298</v>
      </c>
      <c r="F171" s="648">
        <v>54.328483049454</v>
      </c>
      <c r="G171" s="649">
        <v>54.328483049454</v>
      </c>
      <c r="H171" s="651">
        <v>0</v>
      </c>
      <c r="I171" s="648">
        <v>895.96225000000004</v>
      </c>
      <c r="J171" s="649">
        <v>841.63376695054501</v>
      </c>
      <c r="K171" s="652">
        <v>16.491574947608999</v>
      </c>
    </row>
    <row r="172" spans="1:11" ht="14.4" customHeight="1" thickBot="1" x14ac:dyDescent="0.35">
      <c r="A172" s="670" t="s">
        <v>462</v>
      </c>
      <c r="B172" s="648">
        <v>0</v>
      </c>
      <c r="C172" s="648">
        <v>0</v>
      </c>
      <c r="D172" s="649">
        <v>0</v>
      </c>
      <c r="E172" s="650">
        <v>1</v>
      </c>
      <c r="F172" s="648">
        <v>0</v>
      </c>
      <c r="G172" s="649">
        <v>0</v>
      </c>
      <c r="H172" s="651">
        <v>0</v>
      </c>
      <c r="I172" s="648">
        <v>211.06197</v>
      </c>
      <c r="J172" s="649">
        <v>211.06197</v>
      </c>
      <c r="K172" s="659" t="s">
        <v>340</v>
      </c>
    </row>
    <row r="173" spans="1:11" ht="14.4" customHeight="1" thickBot="1" x14ac:dyDescent="0.35">
      <c r="A173" s="670" t="s">
        <v>463</v>
      </c>
      <c r="B173" s="648">
        <v>0</v>
      </c>
      <c r="C173" s="648">
        <v>54.320659999999997</v>
      </c>
      <c r="D173" s="649">
        <v>54.320659999999997</v>
      </c>
      <c r="E173" s="658" t="s">
        <v>298</v>
      </c>
      <c r="F173" s="648">
        <v>54.328483049454</v>
      </c>
      <c r="G173" s="649">
        <v>54.328483049454</v>
      </c>
      <c r="H173" s="651">
        <v>0</v>
      </c>
      <c r="I173" s="648">
        <v>684.90027999999995</v>
      </c>
      <c r="J173" s="649">
        <v>630.57179695054504</v>
      </c>
      <c r="K173" s="652">
        <v>12.606652009343</v>
      </c>
    </row>
    <row r="174" spans="1:11" ht="14.4" customHeight="1" thickBot="1" x14ac:dyDescent="0.35">
      <c r="A174" s="669" t="s">
        <v>464</v>
      </c>
      <c r="B174" s="653">
        <v>59288</v>
      </c>
      <c r="C174" s="653">
        <v>58793.34678</v>
      </c>
      <c r="D174" s="654">
        <v>-494.65321999998599</v>
      </c>
      <c r="E174" s="660">
        <v>0.99165677337699998</v>
      </c>
      <c r="F174" s="653">
        <v>59732.467271321897</v>
      </c>
      <c r="G174" s="654">
        <v>59732.467271321897</v>
      </c>
      <c r="H174" s="656">
        <v>5713.3790500000096</v>
      </c>
      <c r="I174" s="653">
        <v>66749.514840000003</v>
      </c>
      <c r="J174" s="654">
        <v>7017.0475686781101</v>
      </c>
      <c r="K174" s="661">
        <v>1.1174745978059999</v>
      </c>
    </row>
    <row r="175" spans="1:11" ht="14.4" customHeight="1" thickBot="1" x14ac:dyDescent="0.35">
      <c r="A175" s="670" t="s">
        <v>465</v>
      </c>
      <c r="B175" s="648">
        <v>27981</v>
      </c>
      <c r="C175" s="648">
        <v>25940.156790000001</v>
      </c>
      <c r="D175" s="649">
        <v>-2040.84320999999</v>
      </c>
      <c r="E175" s="650">
        <v>0.92706324970499998</v>
      </c>
      <c r="F175" s="648">
        <v>26350.924889734699</v>
      </c>
      <c r="G175" s="649">
        <v>26350.924889734699</v>
      </c>
      <c r="H175" s="651">
        <v>2646.5115700000001</v>
      </c>
      <c r="I175" s="648">
        <v>26366.25157</v>
      </c>
      <c r="J175" s="649">
        <v>15.326680265312</v>
      </c>
      <c r="K175" s="652">
        <v>1.000581637279</v>
      </c>
    </row>
    <row r="176" spans="1:11" ht="14.4" customHeight="1" thickBot="1" x14ac:dyDescent="0.35">
      <c r="A176" s="670" t="s">
        <v>466</v>
      </c>
      <c r="B176" s="648">
        <v>31307</v>
      </c>
      <c r="C176" s="648">
        <v>32853.189989999999</v>
      </c>
      <c r="D176" s="649">
        <v>1546.1899900000101</v>
      </c>
      <c r="E176" s="650">
        <v>1.0493879959750001</v>
      </c>
      <c r="F176" s="648">
        <v>33381.542381587198</v>
      </c>
      <c r="G176" s="649">
        <v>33381.542381587198</v>
      </c>
      <c r="H176" s="651">
        <v>3066.8674799999999</v>
      </c>
      <c r="I176" s="648">
        <v>40383.263270000003</v>
      </c>
      <c r="J176" s="649">
        <v>7001.7208884128304</v>
      </c>
      <c r="K176" s="652">
        <v>1.209748273712</v>
      </c>
    </row>
    <row r="177" spans="1:11" ht="14.4" customHeight="1" thickBot="1" x14ac:dyDescent="0.35">
      <c r="A177" s="669" t="s">
        <v>467</v>
      </c>
      <c r="B177" s="653">
        <v>0</v>
      </c>
      <c r="C177" s="653">
        <v>1498.5754199999999</v>
      </c>
      <c r="D177" s="654">
        <v>1498.5754199999999</v>
      </c>
      <c r="E177" s="655" t="s">
        <v>298</v>
      </c>
      <c r="F177" s="653">
        <v>0</v>
      </c>
      <c r="G177" s="654">
        <v>0</v>
      </c>
      <c r="H177" s="656">
        <v>-5.4581999999999997</v>
      </c>
      <c r="I177" s="653">
        <v>3555.4239299999999</v>
      </c>
      <c r="J177" s="654">
        <v>3555.4239299999999</v>
      </c>
      <c r="K177" s="657" t="s">
        <v>298</v>
      </c>
    </row>
    <row r="178" spans="1:11" ht="14.4" customHeight="1" thickBot="1" x14ac:dyDescent="0.35">
      <c r="A178" s="670" t="s">
        <v>468</v>
      </c>
      <c r="B178" s="648">
        <v>0</v>
      </c>
      <c r="C178" s="648">
        <v>1145.2336600000001</v>
      </c>
      <c r="D178" s="649">
        <v>1145.2336600000001</v>
      </c>
      <c r="E178" s="658" t="s">
        <v>298</v>
      </c>
      <c r="F178" s="648">
        <v>0</v>
      </c>
      <c r="G178" s="649">
        <v>0</v>
      </c>
      <c r="H178" s="651">
        <v>0</v>
      </c>
      <c r="I178" s="648">
        <v>1227.7977100000001</v>
      </c>
      <c r="J178" s="649">
        <v>1227.7977100000001</v>
      </c>
      <c r="K178" s="659" t="s">
        <v>298</v>
      </c>
    </row>
    <row r="179" spans="1:11" ht="14.4" customHeight="1" thickBot="1" x14ac:dyDescent="0.35">
      <c r="A179" s="670" t="s">
        <v>469</v>
      </c>
      <c r="B179" s="648">
        <v>0</v>
      </c>
      <c r="C179" s="648">
        <v>353.34176000000002</v>
      </c>
      <c r="D179" s="649">
        <v>353.34176000000002</v>
      </c>
      <c r="E179" s="658" t="s">
        <v>298</v>
      </c>
      <c r="F179" s="648">
        <v>0</v>
      </c>
      <c r="G179" s="649">
        <v>0</v>
      </c>
      <c r="H179" s="651">
        <v>-5.4581999999999997</v>
      </c>
      <c r="I179" s="648">
        <v>2327.6262200000001</v>
      </c>
      <c r="J179" s="649">
        <v>2327.6262200000001</v>
      </c>
      <c r="K179" s="659" t="s">
        <v>298</v>
      </c>
    </row>
    <row r="180" spans="1:11" ht="14.4" customHeight="1" thickBot="1" x14ac:dyDescent="0.35">
      <c r="A180" s="667" t="s">
        <v>470</v>
      </c>
      <c r="B180" s="648">
        <v>4.5342107109069998</v>
      </c>
      <c r="C180" s="648">
        <v>29.5</v>
      </c>
      <c r="D180" s="649">
        <v>24.965789289092001</v>
      </c>
      <c r="E180" s="650">
        <v>6.5060937571849999</v>
      </c>
      <c r="F180" s="648">
        <v>0</v>
      </c>
      <c r="G180" s="649">
        <v>0</v>
      </c>
      <c r="H180" s="651">
        <v>6.0000000000000103E-5</v>
      </c>
      <c r="I180" s="648">
        <v>16.224139999999998</v>
      </c>
      <c r="J180" s="649">
        <v>16.224139999999998</v>
      </c>
      <c r="K180" s="659" t="s">
        <v>298</v>
      </c>
    </row>
    <row r="181" spans="1:11" ht="14.4" customHeight="1" thickBot="1" x14ac:dyDescent="0.35">
      <c r="A181" s="668" t="s">
        <v>471</v>
      </c>
      <c r="B181" s="648">
        <v>0</v>
      </c>
      <c r="C181" s="648">
        <v>29.5</v>
      </c>
      <c r="D181" s="649">
        <v>29.5</v>
      </c>
      <c r="E181" s="658" t="s">
        <v>340</v>
      </c>
      <c r="F181" s="648">
        <v>0</v>
      </c>
      <c r="G181" s="649">
        <v>0</v>
      </c>
      <c r="H181" s="651">
        <v>0</v>
      </c>
      <c r="I181" s="648">
        <v>16</v>
      </c>
      <c r="J181" s="649">
        <v>16</v>
      </c>
      <c r="K181" s="659" t="s">
        <v>298</v>
      </c>
    </row>
    <row r="182" spans="1:11" ht="14.4" customHeight="1" thickBot="1" x14ac:dyDescent="0.35">
      <c r="A182" s="669" t="s">
        <v>472</v>
      </c>
      <c r="B182" s="653">
        <v>0</v>
      </c>
      <c r="C182" s="653">
        <v>29.5</v>
      </c>
      <c r="D182" s="654">
        <v>29.5</v>
      </c>
      <c r="E182" s="655" t="s">
        <v>340</v>
      </c>
      <c r="F182" s="653">
        <v>0</v>
      </c>
      <c r="G182" s="654">
        <v>0</v>
      </c>
      <c r="H182" s="656">
        <v>0</v>
      </c>
      <c r="I182" s="653">
        <v>16</v>
      </c>
      <c r="J182" s="654">
        <v>16</v>
      </c>
      <c r="K182" s="657" t="s">
        <v>298</v>
      </c>
    </row>
    <row r="183" spans="1:11" ht="14.4" customHeight="1" thickBot="1" x14ac:dyDescent="0.35">
      <c r="A183" s="670" t="s">
        <v>473</v>
      </c>
      <c r="B183" s="648">
        <v>0</v>
      </c>
      <c r="C183" s="648">
        <v>29.5</v>
      </c>
      <c r="D183" s="649">
        <v>29.5</v>
      </c>
      <c r="E183" s="658" t="s">
        <v>340</v>
      </c>
      <c r="F183" s="648">
        <v>0</v>
      </c>
      <c r="G183" s="649">
        <v>0</v>
      </c>
      <c r="H183" s="651">
        <v>0</v>
      </c>
      <c r="I183" s="648">
        <v>16</v>
      </c>
      <c r="J183" s="649">
        <v>16</v>
      </c>
      <c r="K183" s="659" t="s">
        <v>298</v>
      </c>
    </row>
    <row r="184" spans="1:11" ht="14.4" customHeight="1" thickBot="1" x14ac:dyDescent="0.35">
      <c r="A184" s="673" t="s">
        <v>474</v>
      </c>
      <c r="B184" s="653">
        <v>4.5342107109069998</v>
      </c>
      <c r="C184" s="653">
        <v>0</v>
      </c>
      <c r="D184" s="654">
        <v>-4.5342107109069998</v>
      </c>
      <c r="E184" s="660">
        <v>0</v>
      </c>
      <c r="F184" s="653">
        <v>0</v>
      </c>
      <c r="G184" s="654">
        <v>0</v>
      </c>
      <c r="H184" s="656">
        <v>6.0000000000000103E-5</v>
      </c>
      <c r="I184" s="653">
        <v>0.22414000000000001</v>
      </c>
      <c r="J184" s="654">
        <v>0.22414000000000001</v>
      </c>
      <c r="K184" s="657" t="s">
        <v>298</v>
      </c>
    </row>
    <row r="185" spans="1:11" ht="14.4" customHeight="1" thickBot="1" x14ac:dyDescent="0.35">
      <c r="A185" s="669" t="s">
        <v>475</v>
      </c>
      <c r="B185" s="653">
        <v>0</v>
      </c>
      <c r="C185" s="653">
        <v>0</v>
      </c>
      <c r="D185" s="654">
        <v>0</v>
      </c>
      <c r="E185" s="655" t="s">
        <v>298</v>
      </c>
      <c r="F185" s="653">
        <v>0</v>
      </c>
      <c r="G185" s="654">
        <v>0</v>
      </c>
      <c r="H185" s="656">
        <v>6.0000000000000103E-5</v>
      </c>
      <c r="I185" s="653">
        <v>9.3999999999999997E-4</v>
      </c>
      <c r="J185" s="654">
        <v>9.3999999999999997E-4</v>
      </c>
      <c r="K185" s="657" t="s">
        <v>298</v>
      </c>
    </row>
    <row r="186" spans="1:11" ht="14.4" customHeight="1" thickBot="1" x14ac:dyDescent="0.35">
      <c r="A186" s="670" t="s">
        <v>476</v>
      </c>
      <c r="B186" s="648">
        <v>0</v>
      </c>
      <c r="C186" s="648">
        <v>0</v>
      </c>
      <c r="D186" s="649">
        <v>0</v>
      </c>
      <c r="E186" s="658" t="s">
        <v>298</v>
      </c>
      <c r="F186" s="648">
        <v>0</v>
      </c>
      <c r="G186" s="649">
        <v>0</v>
      </c>
      <c r="H186" s="651">
        <v>6.0000000000000103E-5</v>
      </c>
      <c r="I186" s="648">
        <v>9.3999999999999997E-4</v>
      </c>
      <c r="J186" s="649">
        <v>9.3999999999999997E-4</v>
      </c>
      <c r="K186" s="659" t="s">
        <v>340</v>
      </c>
    </row>
    <row r="187" spans="1:11" ht="14.4" customHeight="1" thickBot="1" x14ac:dyDescent="0.35">
      <c r="A187" s="669" t="s">
        <v>477</v>
      </c>
      <c r="B187" s="653">
        <v>4.5342107109069998</v>
      </c>
      <c r="C187" s="653">
        <v>0</v>
      </c>
      <c r="D187" s="654">
        <v>-4.5342107109069998</v>
      </c>
      <c r="E187" s="660">
        <v>0</v>
      </c>
      <c r="F187" s="653">
        <v>0</v>
      </c>
      <c r="G187" s="654">
        <v>0</v>
      </c>
      <c r="H187" s="656">
        <v>0</v>
      </c>
      <c r="I187" s="653">
        <v>0.22320000000000001</v>
      </c>
      <c r="J187" s="654">
        <v>0.22320000000000001</v>
      </c>
      <c r="K187" s="657" t="s">
        <v>340</v>
      </c>
    </row>
    <row r="188" spans="1:11" ht="14.4" customHeight="1" thickBot="1" x14ac:dyDescent="0.35">
      <c r="A188" s="670" t="s">
        <v>478</v>
      </c>
      <c r="B188" s="648">
        <v>0</v>
      </c>
      <c r="C188" s="648">
        <v>0</v>
      </c>
      <c r="D188" s="649">
        <v>0</v>
      </c>
      <c r="E188" s="650">
        <v>1</v>
      </c>
      <c r="F188" s="648">
        <v>0</v>
      </c>
      <c r="G188" s="649">
        <v>0</v>
      </c>
      <c r="H188" s="651">
        <v>0</v>
      </c>
      <c r="I188" s="648">
        <v>0.1232</v>
      </c>
      <c r="J188" s="649">
        <v>0.1232</v>
      </c>
      <c r="K188" s="659" t="s">
        <v>340</v>
      </c>
    </row>
    <row r="189" spans="1:11" ht="14.4" customHeight="1" thickBot="1" x14ac:dyDescent="0.35">
      <c r="A189" s="670" t="s">
        <v>479</v>
      </c>
      <c r="B189" s="648">
        <v>4.5342107109069998</v>
      </c>
      <c r="C189" s="648">
        <v>0</v>
      </c>
      <c r="D189" s="649">
        <v>-4.5342107109069998</v>
      </c>
      <c r="E189" s="650">
        <v>0</v>
      </c>
      <c r="F189" s="648">
        <v>0</v>
      </c>
      <c r="G189" s="649">
        <v>0</v>
      </c>
      <c r="H189" s="651">
        <v>0</v>
      </c>
      <c r="I189" s="648">
        <v>0.1</v>
      </c>
      <c r="J189" s="649">
        <v>0.1</v>
      </c>
      <c r="K189" s="659" t="s">
        <v>340</v>
      </c>
    </row>
    <row r="190" spans="1:11" ht="14.4" customHeight="1" thickBot="1" x14ac:dyDescent="0.35">
      <c r="A190" s="667" t="s">
        <v>480</v>
      </c>
      <c r="B190" s="648">
        <v>14.172803113162001</v>
      </c>
      <c r="C190" s="648">
        <v>583.36300000000006</v>
      </c>
      <c r="D190" s="649">
        <v>569.19019688683795</v>
      </c>
      <c r="E190" s="650">
        <v>41.160735483457998</v>
      </c>
      <c r="F190" s="648">
        <v>18.672086855134999</v>
      </c>
      <c r="G190" s="649">
        <v>18.672086855134999</v>
      </c>
      <c r="H190" s="651">
        <v>0</v>
      </c>
      <c r="I190" s="648">
        <v>0</v>
      </c>
      <c r="J190" s="649">
        <v>-18.672086855134999</v>
      </c>
      <c r="K190" s="652">
        <v>0</v>
      </c>
    </row>
    <row r="191" spans="1:11" ht="14.4" customHeight="1" thickBot="1" x14ac:dyDescent="0.35">
      <c r="A191" s="673" t="s">
        <v>481</v>
      </c>
      <c r="B191" s="653">
        <v>14.172803113162001</v>
      </c>
      <c r="C191" s="653">
        <v>583.36300000000006</v>
      </c>
      <c r="D191" s="654">
        <v>569.19019688683795</v>
      </c>
      <c r="E191" s="660">
        <v>41.160735483457998</v>
      </c>
      <c r="F191" s="653">
        <v>18.672086855134999</v>
      </c>
      <c r="G191" s="654">
        <v>18.672086855134999</v>
      </c>
      <c r="H191" s="656">
        <v>0</v>
      </c>
      <c r="I191" s="653">
        <v>0</v>
      </c>
      <c r="J191" s="654">
        <v>-18.672086855134999</v>
      </c>
      <c r="K191" s="661">
        <v>0</v>
      </c>
    </row>
    <row r="192" spans="1:11" ht="14.4" customHeight="1" thickBot="1" x14ac:dyDescent="0.35">
      <c r="A192" s="669" t="s">
        <v>482</v>
      </c>
      <c r="B192" s="653">
        <v>14.172803113162001</v>
      </c>
      <c r="C192" s="653">
        <v>583.36300000000006</v>
      </c>
      <c r="D192" s="654">
        <v>569.19019688683795</v>
      </c>
      <c r="E192" s="660">
        <v>41.160735483457998</v>
      </c>
      <c r="F192" s="653">
        <v>18.672086855134999</v>
      </c>
      <c r="G192" s="654">
        <v>18.672086855134999</v>
      </c>
      <c r="H192" s="656">
        <v>0</v>
      </c>
      <c r="I192" s="653">
        <v>0</v>
      </c>
      <c r="J192" s="654">
        <v>-18.672086855134999</v>
      </c>
      <c r="K192" s="661">
        <v>0</v>
      </c>
    </row>
    <row r="193" spans="1:11" ht="14.4" customHeight="1" thickBot="1" x14ac:dyDescent="0.35">
      <c r="A193" s="670" t="s">
        <v>483</v>
      </c>
      <c r="B193" s="648">
        <v>0</v>
      </c>
      <c r="C193" s="648">
        <v>565.73500000000001</v>
      </c>
      <c r="D193" s="649">
        <v>565.73500000000001</v>
      </c>
      <c r="E193" s="658" t="s">
        <v>340</v>
      </c>
      <c r="F193" s="648">
        <v>0</v>
      </c>
      <c r="G193" s="649">
        <v>0</v>
      </c>
      <c r="H193" s="651">
        <v>0</v>
      </c>
      <c r="I193" s="648">
        <v>0</v>
      </c>
      <c r="J193" s="649">
        <v>0</v>
      </c>
      <c r="K193" s="652">
        <v>12</v>
      </c>
    </row>
    <row r="194" spans="1:11" ht="14.4" customHeight="1" thickBot="1" x14ac:dyDescent="0.35">
      <c r="A194" s="670" t="s">
        <v>484</v>
      </c>
      <c r="B194" s="648">
        <v>14.172803113162001</v>
      </c>
      <c r="C194" s="648">
        <v>17.628</v>
      </c>
      <c r="D194" s="649">
        <v>3.4551968868370002</v>
      </c>
      <c r="E194" s="650">
        <v>1.2437906502510001</v>
      </c>
      <c r="F194" s="648">
        <v>18.672086855134999</v>
      </c>
      <c r="G194" s="649">
        <v>18.672086855134999</v>
      </c>
      <c r="H194" s="651">
        <v>0</v>
      </c>
      <c r="I194" s="648">
        <v>0</v>
      </c>
      <c r="J194" s="649">
        <v>-18.672086855134999</v>
      </c>
      <c r="K194" s="652">
        <v>0</v>
      </c>
    </row>
    <row r="195" spans="1:11" ht="14.4" customHeight="1" thickBot="1" x14ac:dyDescent="0.35">
      <c r="A195" s="666" t="s">
        <v>485</v>
      </c>
      <c r="B195" s="648">
        <v>5764.3193937791402</v>
      </c>
      <c r="C195" s="648">
        <v>8399.3998800000008</v>
      </c>
      <c r="D195" s="649">
        <v>2635.0804862208602</v>
      </c>
      <c r="E195" s="650">
        <v>1.457136446856</v>
      </c>
      <c r="F195" s="648">
        <v>6417.9265408253996</v>
      </c>
      <c r="G195" s="649">
        <v>6417.9265408253996</v>
      </c>
      <c r="H195" s="651">
        <v>770.84074999999996</v>
      </c>
      <c r="I195" s="648">
        <v>9457.0926799999997</v>
      </c>
      <c r="J195" s="649">
        <v>3039.1661391746002</v>
      </c>
      <c r="K195" s="652">
        <v>1.473543304031</v>
      </c>
    </row>
    <row r="196" spans="1:11" ht="14.4" customHeight="1" thickBot="1" x14ac:dyDescent="0.35">
      <c r="A196" s="671" t="s">
        <v>486</v>
      </c>
      <c r="B196" s="653">
        <v>5764.3193937791402</v>
      </c>
      <c r="C196" s="653">
        <v>8399.3998800000008</v>
      </c>
      <c r="D196" s="654">
        <v>2635.0804862208602</v>
      </c>
      <c r="E196" s="660">
        <v>1.457136446856</v>
      </c>
      <c r="F196" s="653">
        <v>6417.9265408253996</v>
      </c>
      <c r="G196" s="654">
        <v>6417.9265408253996</v>
      </c>
      <c r="H196" s="656">
        <v>770.84074999999996</v>
      </c>
      <c r="I196" s="653">
        <v>9457.0926799999997</v>
      </c>
      <c r="J196" s="654">
        <v>3039.1661391746002</v>
      </c>
      <c r="K196" s="661">
        <v>1.473543304031</v>
      </c>
    </row>
    <row r="197" spans="1:11" ht="14.4" customHeight="1" thickBot="1" x14ac:dyDescent="0.35">
      <c r="A197" s="673" t="s">
        <v>41</v>
      </c>
      <c r="B197" s="653">
        <v>5764.3193937791402</v>
      </c>
      <c r="C197" s="653">
        <v>8399.3998800000008</v>
      </c>
      <c r="D197" s="654">
        <v>2635.0804862208602</v>
      </c>
      <c r="E197" s="660">
        <v>1.457136446856</v>
      </c>
      <c r="F197" s="653">
        <v>6417.9265408253996</v>
      </c>
      <c r="G197" s="654">
        <v>6417.9265408253996</v>
      </c>
      <c r="H197" s="656">
        <v>770.84074999999996</v>
      </c>
      <c r="I197" s="653">
        <v>9457.0926799999997</v>
      </c>
      <c r="J197" s="654">
        <v>3039.1661391746002</v>
      </c>
      <c r="K197" s="661">
        <v>1.473543304031</v>
      </c>
    </row>
    <row r="198" spans="1:11" ht="14.4" customHeight="1" thickBot="1" x14ac:dyDescent="0.35">
      <c r="A198" s="672" t="s">
        <v>487</v>
      </c>
      <c r="B198" s="648">
        <v>370.14362211741002</v>
      </c>
      <c r="C198" s="648">
        <v>286.49455999999998</v>
      </c>
      <c r="D198" s="649">
        <v>-83.649062117409997</v>
      </c>
      <c r="E198" s="650">
        <v>0.77400917611599995</v>
      </c>
      <c r="F198" s="648">
        <v>0</v>
      </c>
      <c r="G198" s="649">
        <v>0</v>
      </c>
      <c r="H198" s="651">
        <v>22.25263</v>
      </c>
      <c r="I198" s="648">
        <v>259.74491999999998</v>
      </c>
      <c r="J198" s="649">
        <v>259.74491999999998</v>
      </c>
      <c r="K198" s="659" t="s">
        <v>340</v>
      </c>
    </row>
    <row r="199" spans="1:11" ht="14.4" customHeight="1" thickBot="1" x14ac:dyDescent="0.35">
      <c r="A199" s="670" t="s">
        <v>488</v>
      </c>
      <c r="B199" s="648">
        <v>370.14362211741002</v>
      </c>
      <c r="C199" s="648">
        <v>286.49455999999998</v>
      </c>
      <c r="D199" s="649">
        <v>-83.649062117409997</v>
      </c>
      <c r="E199" s="650">
        <v>0.77400917611599995</v>
      </c>
      <c r="F199" s="648">
        <v>0</v>
      </c>
      <c r="G199" s="649">
        <v>0</v>
      </c>
      <c r="H199" s="651">
        <v>22.25263</v>
      </c>
      <c r="I199" s="648">
        <v>259.74491999999998</v>
      </c>
      <c r="J199" s="649">
        <v>259.74491999999998</v>
      </c>
      <c r="K199" s="659" t="s">
        <v>340</v>
      </c>
    </row>
    <row r="200" spans="1:11" ht="14.4" customHeight="1" thickBot="1" x14ac:dyDescent="0.35">
      <c r="A200" s="669" t="s">
        <v>489</v>
      </c>
      <c r="B200" s="653">
        <v>63.766530743296002</v>
      </c>
      <c r="C200" s="653">
        <v>57.823999999999998</v>
      </c>
      <c r="D200" s="654">
        <v>-5.9425307432960004</v>
      </c>
      <c r="E200" s="660">
        <v>0.90680799670199996</v>
      </c>
      <c r="F200" s="653">
        <v>54.031879972520997</v>
      </c>
      <c r="G200" s="654">
        <v>54.031879972520997</v>
      </c>
      <c r="H200" s="656">
        <v>0.85</v>
      </c>
      <c r="I200" s="653">
        <v>35.594999999999999</v>
      </c>
      <c r="J200" s="654">
        <v>-18.436879972521002</v>
      </c>
      <c r="K200" s="661">
        <v>0.65877774414099999</v>
      </c>
    </row>
    <row r="201" spans="1:11" ht="14.4" customHeight="1" thickBot="1" x14ac:dyDescent="0.35">
      <c r="A201" s="670" t="s">
        <v>490</v>
      </c>
      <c r="B201" s="648">
        <v>63.766530743296002</v>
      </c>
      <c r="C201" s="648">
        <v>57.823999999999998</v>
      </c>
      <c r="D201" s="649">
        <v>-5.9425307432960004</v>
      </c>
      <c r="E201" s="650">
        <v>0.90680799670199996</v>
      </c>
      <c r="F201" s="648">
        <v>54.031879972520997</v>
      </c>
      <c r="G201" s="649">
        <v>54.031879972520997</v>
      </c>
      <c r="H201" s="651">
        <v>0.85</v>
      </c>
      <c r="I201" s="648">
        <v>35.594999999999999</v>
      </c>
      <c r="J201" s="649">
        <v>-18.436879972521002</v>
      </c>
      <c r="K201" s="652">
        <v>0.65877774414099999</v>
      </c>
    </row>
    <row r="202" spans="1:11" ht="14.4" customHeight="1" thickBot="1" x14ac:dyDescent="0.35">
      <c r="A202" s="669" t="s">
        <v>491</v>
      </c>
      <c r="B202" s="653">
        <v>152.450004518464</v>
      </c>
      <c r="C202" s="653">
        <v>143.49673999999999</v>
      </c>
      <c r="D202" s="654">
        <v>-8.9532645184629995</v>
      </c>
      <c r="E202" s="660">
        <v>0.94127081499999998</v>
      </c>
      <c r="F202" s="653">
        <v>189.15238642475501</v>
      </c>
      <c r="G202" s="654">
        <v>189.15238642475501</v>
      </c>
      <c r="H202" s="656">
        <v>5.6101200000000002</v>
      </c>
      <c r="I202" s="653">
        <v>141.76258000000001</v>
      </c>
      <c r="J202" s="654">
        <v>-47.389806424755001</v>
      </c>
      <c r="K202" s="661">
        <v>0.74946228635800005</v>
      </c>
    </row>
    <row r="203" spans="1:11" ht="14.4" customHeight="1" thickBot="1" x14ac:dyDescent="0.35">
      <c r="A203" s="670" t="s">
        <v>492</v>
      </c>
      <c r="B203" s="648">
        <v>122.72696649975001</v>
      </c>
      <c r="C203" s="648">
        <v>125.06</v>
      </c>
      <c r="D203" s="649">
        <v>2.33303350025</v>
      </c>
      <c r="E203" s="650">
        <v>1.0190099500280001</v>
      </c>
      <c r="F203" s="648">
        <v>142.59617615218099</v>
      </c>
      <c r="G203" s="649">
        <v>142.59617615218099</v>
      </c>
      <c r="H203" s="651">
        <v>4.4400000000000004</v>
      </c>
      <c r="I203" s="648">
        <v>122.1</v>
      </c>
      <c r="J203" s="649">
        <v>-20.496176152179999</v>
      </c>
      <c r="K203" s="652">
        <v>0.85626419511899998</v>
      </c>
    </row>
    <row r="204" spans="1:11" ht="14.4" customHeight="1" thickBot="1" x14ac:dyDescent="0.35">
      <c r="A204" s="670" t="s">
        <v>493</v>
      </c>
      <c r="B204" s="648">
        <v>8.2749822244410005</v>
      </c>
      <c r="C204" s="648">
        <v>0</v>
      </c>
      <c r="D204" s="649">
        <v>-8.2749822244410005</v>
      </c>
      <c r="E204" s="650">
        <v>0</v>
      </c>
      <c r="F204" s="648">
        <v>24.923348205225</v>
      </c>
      <c r="G204" s="649">
        <v>24.923348205225</v>
      </c>
      <c r="H204" s="651">
        <v>0</v>
      </c>
      <c r="I204" s="648">
        <v>3.0015999999999998</v>
      </c>
      <c r="J204" s="649">
        <v>-21.921748205225001</v>
      </c>
      <c r="K204" s="652">
        <v>0.120433257012</v>
      </c>
    </row>
    <row r="205" spans="1:11" ht="14.4" customHeight="1" thickBot="1" x14ac:dyDescent="0.35">
      <c r="A205" s="670" t="s">
        <v>494</v>
      </c>
      <c r="B205" s="648">
        <v>21.448055794272999</v>
      </c>
      <c r="C205" s="648">
        <v>18.43674</v>
      </c>
      <c r="D205" s="649">
        <v>-3.011315794273</v>
      </c>
      <c r="E205" s="650">
        <v>0.85959959153599996</v>
      </c>
      <c r="F205" s="648">
        <v>21.632862067348999</v>
      </c>
      <c r="G205" s="649">
        <v>21.632862067348999</v>
      </c>
      <c r="H205" s="651">
        <v>1.17012</v>
      </c>
      <c r="I205" s="648">
        <v>16.660979999999999</v>
      </c>
      <c r="J205" s="649">
        <v>-4.9718820673490001</v>
      </c>
      <c r="K205" s="652">
        <v>0.77016993628099994</v>
      </c>
    </row>
    <row r="206" spans="1:11" ht="14.4" customHeight="1" thickBot="1" x14ac:dyDescent="0.35">
      <c r="A206" s="669" t="s">
        <v>495</v>
      </c>
      <c r="B206" s="653">
        <v>754.10544010359001</v>
      </c>
      <c r="C206" s="653">
        <v>863.84844999999996</v>
      </c>
      <c r="D206" s="654">
        <v>109.74300989641</v>
      </c>
      <c r="E206" s="660">
        <v>1.1455274077869999</v>
      </c>
      <c r="F206" s="653">
        <v>784.362225852949</v>
      </c>
      <c r="G206" s="654">
        <v>784.362225852949</v>
      </c>
      <c r="H206" s="656">
        <v>60.986629999999998</v>
      </c>
      <c r="I206" s="653">
        <v>938.89891999999998</v>
      </c>
      <c r="J206" s="654">
        <v>154.53669414705101</v>
      </c>
      <c r="K206" s="661">
        <v>1.197022101592</v>
      </c>
    </row>
    <row r="207" spans="1:11" ht="14.4" customHeight="1" thickBot="1" x14ac:dyDescent="0.35">
      <c r="A207" s="670" t="s">
        <v>496</v>
      </c>
      <c r="B207" s="648">
        <v>754.10544010359001</v>
      </c>
      <c r="C207" s="648">
        <v>863.84844999999996</v>
      </c>
      <c r="D207" s="649">
        <v>109.74300989641</v>
      </c>
      <c r="E207" s="650">
        <v>1.1455274077869999</v>
      </c>
      <c r="F207" s="648">
        <v>784.362225852949</v>
      </c>
      <c r="G207" s="649">
        <v>784.362225852949</v>
      </c>
      <c r="H207" s="651">
        <v>60.986629999999998</v>
      </c>
      <c r="I207" s="648">
        <v>938.89891999999998</v>
      </c>
      <c r="J207" s="649">
        <v>154.53669414705101</v>
      </c>
      <c r="K207" s="652">
        <v>1.197022101592</v>
      </c>
    </row>
    <row r="208" spans="1:11" ht="14.4" customHeight="1" thickBot="1" x14ac:dyDescent="0.35">
      <c r="A208" s="669" t="s">
        <v>497</v>
      </c>
      <c r="B208" s="653">
        <v>0</v>
      </c>
      <c r="C208" s="653">
        <v>1.744</v>
      </c>
      <c r="D208" s="654">
        <v>1.744</v>
      </c>
      <c r="E208" s="655" t="s">
        <v>340</v>
      </c>
      <c r="F208" s="653">
        <v>0</v>
      </c>
      <c r="G208" s="654">
        <v>0</v>
      </c>
      <c r="H208" s="656">
        <v>0.13400000000000001</v>
      </c>
      <c r="I208" s="653">
        <v>1.238</v>
      </c>
      <c r="J208" s="654">
        <v>1.238</v>
      </c>
      <c r="K208" s="657" t="s">
        <v>340</v>
      </c>
    </row>
    <row r="209" spans="1:11" ht="14.4" customHeight="1" thickBot="1" x14ac:dyDescent="0.35">
      <c r="A209" s="670" t="s">
        <v>498</v>
      </c>
      <c r="B209" s="648">
        <v>0</v>
      </c>
      <c r="C209" s="648">
        <v>1.744</v>
      </c>
      <c r="D209" s="649">
        <v>1.744</v>
      </c>
      <c r="E209" s="658" t="s">
        <v>340</v>
      </c>
      <c r="F209" s="648">
        <v>0</v>
      </c>
      <c r="G209" s="649">
        <v>0</v>
      </c>
      <c r="H209" s="651">
        <v>0.13400000000000001</v>
      </c>
      <c r="I209" s="648">
        <v>1.238</v>
      </c>
      <c r="J209" s="649">
        <v>1.238</v>
      </c>
      <c r="K209" s="659" t="s">
        <v>340</v>
      </c>
    </row>
    <row r="210" spans="1:11" ht="14.4" customHeight="1" thickBot="1" x14ac:dyDescent="0.35">
      <c r="A210" s="669" t="s">
        <v>499</v>
      </c>
      <c r="B210" s="653">
        <v>365.37283679751999</v>
      </c>
      <c r="C210" s="653">
        <v>374.69618000000003</v>
      </c>
      <c r="D210" s="654">
        <v>9.3233432024800003</v>
      </c>
      <c r="E210" s="660">
        <v>1.0255173408180001</v>
      </c>
      <c r="F210" s="653">
        <v>410.03691120168298</v>
      </c>
      <c r="G210" s="654">
        <v>410.03691120168298</v>
      </c>
      <c r="H210" s="656">
        <v>28.69997</v>
      </c>
      <c r="I210" s="653">
        <v>343.42693000000003</v>
      </c>
      <c r="J210" s="654">
        <v>-66.609981201682999</v>
      </c>
      <c r="K210" s="661">
        <v>0.83755125604000003</v>
      </c>
    </row>
    <row r="211" spans="1:11" ht="14.4" customHeight="1" thickBot="1" x14ac:dyDescent="0.35">
      <c r="A211" s="670" t="s">
        <v>500</v>
      </c>
      <c r="B211" s="648">
        <v>365.37283679751999</v>
      </c>
      <c r="C211" s="648">
        <v>374.69618000000003</v>
      </c>
      <c r="D211" s="649">
        <v>9.3233432024800003</v>
      </c>
      <c r="E211" s="650">
        <v>1.0255173408180001</v>
      </c>
      <c r="F211" s="648">
        <v>410.03691120168298</v>
      </c>
      <c r="G211" s="649">
        <v>410.03691120168298</v>
      </c>
      <c r="H211" s="651">
        <v>28.69997</v>
      </c>
      <c r="I211" s="648">
        <v>343.42693000000003</v>
      </c>
      <c r="J211" s="649">
        <v>-66.609981201682999</v>
      </c>
      <c r="K211" s="652">
        <v>0.83755125604000003</v>
      </c>
    </row>
    <row r="212" spans="1:11" ht="14.4" customHeight="1" thickBot="1" x14ac:dyDescent="0.35">
      <c r="A212" s="669" t="s">
        <v>501</v>
      </c>
      <c r="B212" s="653">
        <v>0</v>
      </c>
      <c r="C212" s="653">
        <v>1746.4630299999999</v>
      </c>
      <c r="D212" s="654">
        <v>1746.4630299999999</v>
      </c>
      <c r="E212" s="655" t="s">
        <v>340</v>
      </c>
      <c r="F212" s="653">
        <v>0</v>
      </c>
      <c r="G212" s="654">
        <v>0</v>
      </c>
      <c r="H212" s="656">
        <v>138.57836</v>
      </c>
      <c r="I212" s="653">
        <v>2115.90355</v>
      </c>
      <c r="J212" s="654">
        <v>2115.90355</v>
      </c>
      <c r="K212" s="657" t="s">
        <v>340</v>
      </c>
    </row>
    <row r="213" spans="1:11" ht="14.4" customHeight="1" thickBot="1" x14ac:dyDescent="0.35">
      <c r="A213" s="670" t="s">
        <v>502</v>
      </c>
      <c r="B213" s="648">
        <v>0</v>
      </c>
      <c r="C213" s="648">
        <v>1746.4630299999999</v>
      </c>
      <c r="D213" s="649">
        <v>1746.4630299999999</v>
      </c>
      <c r="E213" s="658" t="s">
        <v>340</v>
      </c>
      <c r="F213" s="648">
        <v>0</v>
      </c>
      <c r="G213" s="649">
        <v>0</v>
      </c>
      <c r="H213" s="651">
        <v>138.57836</v>
      </c>
      <c r="I213" s="648">
        <v>2115.90355</v>
      </c>
      <c r="J213" s="649">
        <v>2115.90355</v>
      </c>
      <c r="K213" s="659" t="s">
        <v>340</v>
      </c>
    </row>
    <row r="214" spans="1:11" ht="14.4" customHeight="1" thickBot="1" x14ac:dyDescent="0.35">
      <c r="A214" s="669" t="s">
        <v>503</v>
      </c>
      <c r="B214" s="653">
        <v>4058.4809594988601</v>
      </c>
      <c r="C214" s="653">
        <v>4924.8329199999998</v>
      </c>
      <c r="D214" s="654">
        <v>866.35196050114303</v>
      </c>
      <c r="E214" s="660">
        <v>1.213467050639</v>
      </c>
      <c r="F214" s="653">
        <v>4980.3431373734902</v>
      </c>
      <c r="G214" s="654">
        <v>4980.3431373734902</v>
      </c>
      <c r="H214" s="656">
        <v>513.72904000000005</v>
      </c>
      <c r="I214" s="653">
        <v>5620.5227800000002</v>
      </c>
      <c r="J214" s="654">
        <v>640.17964262650503</v>
      </c>
      <c r="K214" s="661">
        <v>1.128541272151</v>
      </c>
    </row>
    <row r="215" spans="1:11" ht="14.4" customHeight="1" thickBot="1" x14ac:dyDescent="0.35">
      <c r="A215" s="670" t="s">
        <v>504</v>
      </c>
      <c r="B215" s="648">
        <v>4058.4809594988601</v>
      </c>
      <c r="C215" s="648">
        <v>4924.8329199999998</v>
      </c>
      <c r="D215" s="649">
        <v>866.35196050114303</v>
      </c>
      <c r="E215" s="650">
        <v>1.213467050639</v>
      </c>
      <c r="F215" s="648">
        <v>4980.3431373734902</v>
      </c>
      <c r="G215" s="649">
        <v>4980.3431373734902</v>
      </c>
      <c r="H215" s="651">
        <v>513.72904000000005</v>
      </c>
      <c r="I215" s="648">
        <v>5620.5227800000002</v>
      </c>
      <c r="J215" s="649">
        <v>640.17964262650503</v>
      </c>
      <c r="K215" s="652">
        <v>1.128541272151</v>
      </c>
    </row>
    <row r="216" spans="1:11" ht="14.4" customHeight="1" thickBot="1" x14ac:dyDescent="0.35">
      <c r="A216" s="674"/>
      <c r="B216" s="648">
        <v>-18121.752943699099</v>
      </c>
      <c r="C216" s="648">
        <v>-19525.020820000002</v>
      </c>
      <c r="D216" s="649">
        <v>-1403.2678763008701</v>
      </c>
      <c r="E216" s="650">
        <v>1.0774355483519999</v>
      </c>
      <c r="F216" s="648">
        <v>-19537.441041407099</v>
      </c>
      <c r="G216" s="649">
        <v>-19537.441041407099</v>
      </c>
      <c r="H216" s="651">
        <v>-1361.17255000002</v>
      </c>
      <c r="I216" s="648">
        <v>-16651.383340000099</v>
      </c>
      <c r="J216" s="649">
        <v>2886.0577014069399</v>
      </c>
      <c r="K216" s="652">
        <v>0.85228066995600005</v>
      </c>
    </row>
    <row r="217" spans="1:11" ht="14.4" customHeight="1" thickBot="1" x14ac:dyDescent="0.35">
      <c r="A217" s="675" t="s">
        <v>53</v>
      </c>
      <c r="B217" s="662">
        <v>-18121.752943699099</v>
      </c>
      <c r="C217" s="662">
        <v>-19525.020820000002</v>
      </c>
      <c r="D217" s="663">
        <v>-1403.2678763008801</v>
      </c>
      <c r="E217" s="664">
        <v>-1.4356907316559999</v>
      </c>
      <c r="F217" s="662">
        <v>-19537.441041407099</v>
      </c>
      <c r="G217" s="663">
        <v>-19537.441041407099</v>
      </c>
      <c r="H217" s="662">
        <v>-1361.17255000002</v>
      </c>
      <c r="I217" s="662">
        <v>-16651.383340000099</v>
      </c>
      <c r="J217" s="663">
        <v>2886.0577014069499</v>
      </c>
      <c r="K217" s="665">
        <v>0.85228066995600005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157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297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408">
        <v>2015</v>
      </c>
      <c r="D3" s="355">
        <v>2017</v>
      </c>
      <c r="E3" s="11"/>
      <c r="F3" s="491">
        <v>2018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6" t="s">
        <v>505</v>
      </c>
      <c r="B5" s="677" t="s">
        <v>506</v>
      </c>
      <c r="C5" s="678" t="s">
        <v>507</v>
      </c>
      <c r="D5" s="678" t="s">
        <v>507</v>
      </c>
      <c r="E5" s="678"/>
      <c r="F5" s="678" t="s">
        <v>507</v>
      </c>
      <c r="G5" s="678" t="s">
        <v>507</v>
      </c>
      <c r="H5" s="678" t="s">
        <v>507</v>
      </c>
      <c r="I5" s="679" t="s">
        <v>507</v>
      </c>
      <c r="J5" s="680" t="s">
        <v>60</v>
      </c>
    </row>
    <row r="6" spans="1:10" ht="14.4" customHeight="1" x14ac:dyDescent="0.3">
      <c r="A6" s="676" t="s">
        <v>505</v>
      </c>
      <c r="B6" s="677" t="s">
        <v>508</v>
      </c>
      <c r="C6" s="678">
        <v>3783.8091599999993</v>
      </c>
      <c r="D6" s="678">
        <v>4339.4065500000015</v>
      </c>
      <c r="E6" s="678"/>
      <c r="F6" s="678">
        <v>4853.2888300000013</v>
      </c>
      <c r="G6" s="678">
        <v>4481.7275</v>
      </c>
      <c r="H6" s="678">
        <v>371.56133000000136</v>
      </c>
      <c r="I6" s="679">
        <v>1.0829058281655906</v>
      </c>
      <c r="J6" s="680" t="s">
        <v>1</v>
      </c>
    </row>
    <row r="7" spans="1:10" ht="14.4" customHeight="1" x14ac:dyDescent="0.3">
      <c r="A7" s="676" t="s">
        <v>505</v>
      </c>
      <c r="B7" s="677" t="s">
        <v>509</v>
      </c>
      <c r="C7" s="678">
        <v>1581.2873000000004</v>
      </c>
      <c r="D7" s="678">
        <v>1814.7946399999998</v>
      </c>
      <c r="E7" s="678"/>
      <c r="F7" s="678">
        <v>2177.9508500000002</v>
      </c>
      <c r="G7" s="678">
        <v>1945.07025</v>
      </c>
      <c r="H7" s="678">
        <v>232.88060000000019</v>
      </c>
      <c r="I7" s="679">
        <v>1.1197286319093103</v>
      </c>
      <c r="J7" s="680" t="s">
        <v>1</v>
      </c>
    </row>
    <row r="8" spans="1:10" ht="14.4" customHeight="1" x14ac:dyDescent="0.3">
      <c r="A8" s="676" t="s">
        <v>505</v>
      </c>
      <c r="B8" s="677" t="s">
        <v>510</v>
      </c>
      <c r="C8" s="678">
        <v>172.96305000000007</v>
      </c>
      <c r="D8" s="678">
        <v>258.12397000000004</v>
      </c>
      <c r="E8" s="678"/>
      <c r="F8" s="678">
        <v>161.52025</v>
      </c>
      <c r="G8" s="678">
        <v>205.07843750000001</v>
      </c>
      <c r="H8" s="678">
        <v>-43.558187500000003</v>
      </c>
      <c r="I8" s="679">
        <v>0.78760230460601199</v>
      </c>
      <c r="J8" s="680" t="s">
        <v>1</v>
      </c>
    </row>
    <row r="9" spans="1:10" ht="14.4" customHeight="1" x14ac:dyDescent="0.3">
      <c r="A9" s="676" t="s">
        <v>505</v>
      </c>
      <c r="B9" s="677" t="s">
        <v>511</v>
      </c>
      <c r="C9" s="678">
        <v>8.8119999999999994</v>
      </c>
      <c r="D9" s="678">
        <v>0</v>
      </c>
      <c r="E9" s="678"/>
      <c r="F9" s="678">
        <v>0</v>
      </c>
      <c r="G9" s="678">
        <v>0</v>
      </c>
      <c r="H9" s="678">
        <v>0</v>
      </c>
      <c r="I9" s="679" t="s">
        <v>507</v>
      </c>
      <c r="J9" s="680" t="s">
        <v>1</v>
      </c>
    </row>
    <row r="10" spans="1:10" ht="14.4" customHeight="1" x14ac:dyDescent="0.3">
      <c r="A10" s="676" t="s">
        <v>505</v>
      </c>
      <c r="B10" s="677" t="s">
        <v>512</v>
      </c>
      <c r="C10" s="678">
        <v>2107.555960000002</v>
      </c>
      <c r="D10" s="678">
        <v>1498.7141500000018</v>
      </c>
      <c r="E10" s="678"/>
      <c r="F10" s="678">
        <v>1442.8764000000003</v>
      </c>
      <c r="G10" s="678">
        <v>1360</v>
      </c>
      <c r="H10" s="678">
        <v>82.876400000000331</v>
      </c>
      <c r="I10" s="679">
        <v>1.060938529411765</v>
      </c>
      <c r="J10" s="680" t="s">
        <v>1</v>
      </c>
    </row>
    <row r="11" spans="1:10" ht="14.4" customHeight="1" x14ac:dyDescent="0.3">
      <c r="A11" s="676" t="s">
        <v>505</v>
      </c>
      <c r="B11" s="677" t="s">
        <v>513</v>
      </c>
      <c r="C11" s="678">
        <v>21.263469999999998</v>
      </c>
      <c r="D11" s="678">
        <v>458.32360000000017</v>
      </c>
      <c r="E11" s="678"/>
      <c r="F11" s="678">
        <v>26.18638</v>
      </c>
      <c r="G11" s="678">
        <v>160</v>
      </c>
      <c r="H11" s="678">
        <v>-133.81362000000001</v>
      </c>
      <c r="I11" s="679">
        <v>0.16366487499999999</v>
      </c>
      <c r="J11" s="680" t="s">
        <v>1</v>
      </c>
    </row>
    <row r="12" spans="1:10" ht="14.4" customHeight="1" x14ac:dyDescent="0.3">
      <c r="A12" s="676" t="s">
        <v>505</v>
      </c>
      <c r="B12" s="677" t="s">
        <v>514</v>
      </c>
      <c r="C12" s="678">
        <v>1164.8404100000005</v>
      </c>
      <c r="D12" s="678">
        <v>1809.7616400000002</v>
      </c>
      <c r="E12" s="678"/>
      <c r="F12" s="678">
        <v>1762.2655199999995</v>
      </c>
      <c r="G12" s="678">
        <v>1949.8015</v>
      </c>
      <c r="H12" s="678">
        <v>-187.53598000000056</v>
      </c>
      <c r="I12" s="679">
        <v>0.90381791172075698</v>
      </c>
      <c r="J12" s="680" t="s">
        <v>1</v>
      </c>
    </row>
    <row r="13" spans="1:10" ht="14.4" customHeight="1" x14ac:dyDescent="0.3">
      <c r="A13" s="676" t="s">
        <v>505</v>
      </c>
      <c r="B13" s="677" t="s">
        <v>515</v>
      </c>
      <c r="C13" s="678">
        <v>1004.8094800000002</v>
      </c>
      <c r="D13" s="678">
        <v>533.79880999999989</v>
      </c>
      <c r="E13" s="678"/>
      <c r="F13" s="678">
        <v>401.10639999999972</v>
      </c>
      <c r="G13" s="678">
        <v>469.94912499999998</v>
      </c>
      <c r="H13" s="678">
        <v>-68.842725000000257</v>
      </c>
      <c r="I13" s="679">
        <v>0.85351026028615273</v>
      </c>
      <c r="J13" s="680" t="s">
        <v>1</v>
      </c>
    </row>
    <row r="14" spans="1:10" ht="14.4" customHeight="1" x14ac:dyDescent="0.3">
      <c r="A14" s="676" t="s">
        <v>505</v>
      </c>
      <c r="B14" s="677" t="s">
        <v>516</v>
      </c>
      <c r="C14" s="678">
        <v>128.15710999999999</v>
      </c>
      <c r="D14" s="678">
        <v>129.09759999999997</v>
      </c>
      <c r="E14" s="678"/>
      <c r="F14" s="678">
        <v>142.46489000000003</v>
      </c>
      <c r="G14" s="678">
        <v>130</v>
      </c>
      <c r="H14" s="678">
        <v>12.464890000000025</v>
      </c>
      <c r="I14" s="679">
        <v>1.0958837692307695</v>
      </c>
      <c r="J14" s="680" t="s">
        <v>1</v>
      </c>
    </row>
    <row r="15" spans="1:10" ht="14.4" customHeight="1" x14ac:dyDescent="0.3">
      <c r="A15" s="676" t="s">
        <v>505</v>
      </c>
      <c r="B15" s="677" t="s">
        <v>517</v>
      </c>
      <c r="C15" s="678">
        <v>9973.4979400000029</v>
      </c>
      <c r="D15" s="678">
        <v>10842.020960000003</v>
      </c>
      <c r="E15" s="678"/>
      <c r="F15" s="678">
        <v>10967.659519999999</v>
      </c>
      <c r="G15" s="678">
        <v>10701.626812499999</v>
      </c>
      <c r="H15" s="678">
        <v>266.03270750000047</v>
      </c>
      <c r="I15" s="679">
        <v>1.0248590903197317</v>
      </c>
      <c r="J15" s="680" t="s">
        <v>518</v>
      </c>
    </row>
    <row r="17" spans="1:10" ht="14.4" customHeight="1" x14ac:dyDescent="0.3">
      <c r="A17" s="676" t="s">
        <v>505</v>
      </c>
      <c r="B17" s="677" t="s">
        <v>506</v>
      </c>
      <c r="C17" s="678" t="s">
        <v>507</v>
      </c>
      <c r="D17" s="678" t="s">
        <v>507</v>
      </c>
      <c r="E17" s="678"/>
      <c r="F17" s="678" t="s">
        <v>507</v>
      </c>
      <c r="G17" s="678" t="s">
        <v>507</v>
      </c>
      <c r="H17" s="678" t="s">
        <v>507</v>
      </c>
      <c r="I17" s="679" t="s">
        <v>507</v>
      </c>
      <c r="J17" s="680" t="s">
        <v>60</v>
      </c>
    </row>
    <row r="18" spans="1:10" ht="14.4" customHeight="1" x14ac:dyDescent="0.3">
      <c r="A18" s="676" t="s">
        <v>519</v>
      </c>
      <c r="B18" s="677" t="s">
        <v>520</v>
      </c>
      <c r="C18" s="678" t="s">
        <v>507</v>
      </c>
      <c r="D18" s="678" t="s">
        <v>507</v>
      </c>
      <c r="E18" s="678"/>
      <c r="F18" s="678" t="s">
        <v>507</v>
      </c>
      <c r="G18" s="678" t="s">
        <v>507</v>
      </c>
      <c r="H18" s="678" t="s">
        <v>507</v>
      </c>
      <c r="I18" s="679" t="s">
        <v>507</v>
      </c>
      <c r="J18" s="680" t="s">
        <v>0</v>
      </c>
    </row>
    <row r="19" spans="1:10" ht="14.4" customHeight="1" x14ac:dyDescent="0.3">
      <c r="A19" s="676" t="s">
        <v>519</v>
      </c>
      <c r="B19" s="677" t="s">
        <v>508</v>
      </c>
      <c r="C19" s="678">
        <v>3783.8091599999993</v>
      </c>
      <c r="D19" s="678">
        <v>4339.4065500000015</v>
      </c>
      <c r="E19" s="678"/>
      <c r="F19" s="678">
        <v>4853.2888300000013</v>
      </c>
      <c r="G19" s="678">
        <v>4482</v>
      </c>
      <c r="H19" s="678">
        <v>371.28883000000133</v>
      </c>
      <c r="I19" s="679">
        <v>1.0828399888442664</v>
      </c>
      <c r="J19" s="680" t="s">
        <v>1</v>
      </c>
    </row>
    <row r="20" spans="1:10" ht="14.4" customHeight="1" x14ac:dyDescent="0.3">
      <c r="A20" s="676" t="s">
        <v>519</v>
      </c>
      <c r="B20" s="677" t="s">
        <v>509</v>
      </c>
      <c r="C20" s="678">
        <v>1581.2873000000004</v>
      </c>
      <c r="D20" s="678">
        <v>1814.7946399999998</v>
      </c>
      <c r="E20" s="678"/>
      <c r="F20" s="678">
        <v>2177.9508500000002</v>
      </c>
      <c r="G20" s="678">
        <v>1945</v>
      </c>
      <c r="H20" s="678">
        <v>232.95085000000017</v>
      </c>
      <c r="I20" s="679">
        <v>1.1197690745501285</v>
      </c>
      <c r="J20" s="680" t="s">
        <v>1</v>
      </c>
    </row>
    <row r="21" spans="1:10" ht="14.4" customHeight="1" x14ac:dyDescent="0.3">
      <c r="A21" s="676" t="s">
        <v>519</v>
      </c>
      <c r="B21" s="677" t="s">
        <v>510</v>
      </c>
      <c r="C21" s="678">
        <v>172.96305000000007</v>
      </c>
      <c r="D21" s="678">
        <v>258.12397000000004</v>
      </c>
      <c r="E21" s="678"/>
      <c r="F21" s="678">
        <v>161.52025</v>
      </c>
      <c r="G21" s="678">
        <v>205</v>
      </c>
      <c r="H21" s="678">
        <v>-43.479749999999996</v>
      </c>
      <c r="I21" s="679">
        <v>0.78790365853658539</v>
      </c>
      <c r="J21" s="680" t="s">
        <v>1</v>
      </c>
    </row>
    <row r="22" spans="1:10" ht="14.4" customHeight="1" x14ac:dyDescent="0.3">
      <c r="A22" s="676" t="s">
        <v>519</v>
      </c>
      <c r="B22" s="677" t="s">
        <v>511</v>
      </c>
      <c r="C22" s="678">
        <v>8.8119999999999994</v>
      </c>
      <c r="D22" s="678">
        <v>0</v>
      </c>
      <c r="E22" s="678"/>
      <c r="F22" s="678">
        <v>0</v>
      </c>
      <c r="G22" s="678">
        <v>0</v>
      </c>
      <c r="H22" s="678">
        <v>0</v>
      </c>
      <c r="I22" s="679" t="s">
        <v>507</v>
      </c>
      <c r="J22" s="680" t="s">
        <v>1</v>
      </c>
    </row>
    <row r="23" spans="1:10" ht="14.4" customHeight="1" x14ac:dyDescent="0.3">
      <c r="A23" s="676" t="s">
        <v>519</v>
      </c>
      <c r="B23" s="677" t="s">
        <v>512</v>
      </c>
      <c r="C23" s="678">
        <v>2107.555960000002</v>
      </c>
      <c r="D23" s="678">
        <v>1498.7141500000018</v>
      </c>
      <c r="E23" s="678"/>
      <c r="F23" s="678">
        <v>1442.8764000000003</v>
      </c>
      <c r="G23" s="678">
        <v>1360</v>
      </c>
      <c r="H23" s="678">
        <v>82.876400000000331</v>
      </c>
      <c r="I23" s="679">
        <v>1.060938529411765</v>
      </c>
      <c r="J23" s="680" t="s">
        <v>1</v>
      </c>
    </row>
    <row r="24" spans="1:10" ht="14.4" customHeight="1" x14ac:dyDescent="0.3">
      <c r="A24" s="676" t="s">
        <v>519</v>
      </c>
      <c r="B24" s="677" t="s">
        <v>513</v>
      </c>
      <c r="C24" s="678">
        <v>21.263469999999998</v>
      </c>
      <c r="D24" s="678">
        <v>458.32360000000017</v>
      </c>
      <c r="E24" s="678"/>
      <c r="F24" s="678">
        <v>26.18638</v>
      </c>
      <c r="G24" s="678">
        <v>160</v>
      </c>
      <c r="H24" s="678">
        <v>-133.81362000000001</v>
      </c>
      <c r="I24" s="679">
        <v>0.16366487499999999</v>
      </c>
      <c r="J24" s="680" t="s">
        <v>1</v>
      </c>
    </row>
    <row r="25" spans="1:10" ht="14.4" customHeight="1" x14ac:dyDescent="0.3">
      <c r="A25" s="676" t="s">
        <v>519</v>
      </c>
      <c r="B25" s="677" t="s">
        <v>514</v>
      </c>
      <c r="C25" s="678">
        <v>1164.8404100000005</v>
      </c>
      <c r="D25" s="678">
        <v>1809.7616400000002</v>
      </c>
      <c r="E25" s="678"/>
      <c r="F25" s="678">
        <v>1762.2655199999995</v>
      </c>
      <c r="G25" s="678">
        <v>1950</v>
      </c>
      <c r="H25" s="678">
        <v>-187.73448000000053</v>
      </c>
      <c r="I25" s="679">
        <v>0.90372590769230743</v>
      </c>
      <c r="J25" s="680" t="s">
        <v>1</v>
      </c>
    </row>
    <row r="26" spans="1:10" ht="14.4" customHeight="1" x14ac:dyDescent="0.3">
      <c r="A26" s="676" t="s">
        <v>519</v>
      </c>
      <c r="B26" s="677" t="s">
        <v>515</v>
      </c>
      <c r="C26" s="678">
        <v>1004.8094800000002</v>
      </c>
      <c r="D26" s="678">
        <v>533.79880999999989</v>
      </c>
      <c r="E26" s="678"/>
      <c r="F26" s="678">
        <v>401.10639999999972</v>
      </c>
      <c r="G26" s="678">
        <v>470</v>
      </c>
      <c r="H26" s="678">
        <v>-68.893600000000276</v>
      </c>
      <c r="I26" s="679">
        <v>0.85341787234042499</v>
      </c>
      <c r="J26" s="680" t="s">
        <v>1</v>
      </c>
    </row>
    <row r="27" spans="1:10" ht="14.4" customHeight="1" x14ac:dyDescent="0.3">
      <c r="A27" s="676" t="s">
        <v>519</v>
      </c>
      <c r="B27" s="677" t="s">
        <v>516</v>
      </c>
      <c r="C27" s="678">
        <v>128.15710999999999</v>
      </c>
      <c r="D27" s="678">
        <v>129.09759999999997</v>
      </c>
      <c r="E27" s="678"/>
      <c r="F27" s="678">
        <v>142.46489000000003</v>
      </c>
      <c r="G27" s="678">
        <v>130</v>
      </c>
      <c r="H27" s="678">
        <v>12.464890000000025</v>
      </c>
      <c r="I27" s="679">
        <v>1.0958837692307695</v>
      </c>
      <c r="J27" s="680" t="s">
        <v>1</v>
      </c>
    </row>
    <row r="28" spans="1:10" ht="14.4" customHeight="1" x14ac:dyDescent="0.3">
      <c r="A28" s="676" t="s">
        <v>519</v>
      </c>
      <c r="B28" s="677" t="s">
        <v>521</v>
      </c>
      <c r="C28" s="678">
        <v>9973.4979400000029</v>
      </c>
      <c r="D28" s="678">
        <v>10842.020960000003</v>
      </c>
      <c r="E28" s="678"/>
      <c r="F28" s="678">
        <v>10967.659519999999</v>
      </c>
      <c r="G28" s="678">
        <v>10702</v>
      </c>
      <c r="H28" s="678">
        <v>265.65951999999925</v>
      </c>
      <c r="I28" s="679">
        <v>1.0248233526443655</v>
      </c>
      <c r="J28" s="680" t="s">
        <v>522</v>
      </c>
    </row>
    <row r="29" spans="1:10" ht="14.4" customHeight="1" x14ac:dyDescent="0.3">
      <c r="A29" s="676" t="s">
        <v>507</v>
      </c>
      <c r="B29" s="677" t="s">
        <v>507</v>
      </c>
      <c r="C29" s="678" t="s">
        <v>507</v>
      </c>
      <c r="D29" s="678" t="s">
        <v>507</v>
      </c>
      <c r="E29" s="678"/>
      <c r="F29" s="678" t="s">
        <v>507</v>
      </c>
      <c r="G29" s="678" t="s">
        <v>507</v>
      </c>
      <c r="H29" s="678" t="s">
        <v>507</v>
      </c>
      <c r="I29" s="679" t="s">
        <v>507</v>
      </c>
      <c r="J29" s="680" t="s">
        <v>523</v>
      </c>
    </row>
    <row r="30" spans="1:10" ht="14.4" customHeight="1" x14ac:dyDescent="0.3">
      <c r="A30" s="676" t="s">
        <v>505</v>
      </c>
      <c r="B30" s="677" t="s">
        <v>517</v>
      </c>
      <c r="C30" s="678">
        <v>9973.4979400000029</v>
      </c>
      <c r="D30" s="678">
        <v>10842.020960000003</v>
      </c>
      <c r="E30" s="678"/>
      <c r="F30" s="678">
        <v>10967.659519999999</v>
      </c>
      <c r="G30" s="678">
        <v>10702</v>
      </c>
      <c r="H30" s="678">
        <v>265.65951999999925</v>
      </c>
      <c r="I30" s="679">
        <v>1.0248233526443655</v>
      </c>
      <c r="J30" s="680" t="s">
        <v>518</v>
      </c>
    </row>
  </sheetData>
  <mergeCells count="3">
    <mergeCell ref="F3:I3"/>
    <mergeCell ref="C4:D4"/>
    <mergeCell ref="A1:I1"/>
  </mergeCells>
  <conditionalFormatting sqref="F16 F31:F65537">
    <cfRule type="cellIs" dxfId="59" priority="18" stopIfTrue="1" operator="greaterThan">
      <formula>1</formula>
    </cfRule>
  </conditionalFormatting>
  <conditionalFormatting sqref="H5:H15">
    <cfRule type="expression" dxfId="58" priority="14">
      <formula>$H5&gt;0</formula>
    </cfRule>
  </conditionalFormatting>
  <conditionalFormatting sqref="I5:I15">
    <cfRule type="expression" dxfId="57" priority="15">
      <formula>$I5&gt;1</formula>
    </cfRule>
  </conditionalFormatting>
  <conditionalFormatting sqref="B5:B15">
    <cfRule type="expression" dxfId="56" priority="11">
      <formula>OR($J5="NS",$J5="SumaNS",$J5="Účet")</formula>
    </cfRule>
  </conditionalFormatting>
  <conditionalFormatting sqref="B5:D15 F5:I15">
    <cfRule type="expression" dxfId="55" priority="17">
      <formula>AND($J5&lt;&gt;"",$J5&lt;&gt;"mezeraKL")</formula>
    </cfRule>
  </conditionalFormatting>
  <conditionalFormatting sqref="B5:D15 F5:I15">
    <cfRule type="expression" dxfId="5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3" priority="13">
      <formula>OR($J5="SumaNS",$J5="NS")</formula>
    </cfRule>
  </conditionalFormatting>
  <conditionalFormatting sqref="A5:A15">
    <cfRule type="expression" dxfId="52" priority="9">
      <formula>AND($J5&lt;&gt;"mezeraKL",$J5&lt;&gt;"")</formula>
    </cfRule>
  </conditionalFormatting>
  <conditionalFormatting sqref="A5:A15">
    <cfRule type="expression" dxfId="51" priority="10">
      <formula>AND($J5&lt;&gt;"",$J5&lt;&gt;"mezeraKL")</formula>
    </cfRule>
  </conditionalFormatting>
  <conditionalFormatting sqref="H17:H30">
    <cfRule type="expression" dxfId="50" priority="5">
      <formula>$H17&gt;0</formula>
    </cfRule>
  </conditionalFormatting>
  <conditionalFormatting sqref="A17:A30">
    <cfRule type="expression" dxfId="49" priority="2">
      <formula>AND($J17&lt;&gt;"mezeraKL",$J17&lt;&gt;"")</formula>
    </cfRule>
  </conditionalFormatting>
  <conditionalFormatting sqref="I17:I30">
    <cfRule type="expression" dxfId="48" priority="6">
      <formula>$I17&gt;1</formula>
    </cfRule>
  </conditionalFormatting>
  <conditionalFormatting sqref="B17:B30">
    <cfRule type="expression" dxfId="47" priority="1">
      <formula>OR($J17="NS",$J17="SumaNS",$J17="Účet")</formula>
    </cfRule>
  </conditionalFormatting>
  <conditionalFormatting sqref="A17:D30 F17:I30">
    <cfRule type="expression" dxfId="46" priority="8">
      <formula>AND($J17&lt;&gt;"",$J17&lt;&gt;"mezeraKL")</formula>
    </cfRule>
  </conditionalFormatting>
  <conditionalFormatting sqref="B17:D30 F17:I30">
    <cfRule type="expression" dxfId="45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4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2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428" bestFit="1" customWidth="1"/>
    <col min="6" max="6" width="18.77734375" style="316" customWidth="1"/>
    <col min="7" max="7" width="5" style="312" customWidth="1"/>
    <col min="8" max="8" width="12.44140625" style="312" hidden="1" customWidth="1" outlineLevel="1"/>
    <col min="9" max="9" width="8.5546875" style="312" hidden="1" customWidth="1" outlineLevel="1"/>
    <col min="10" max="10" width="25.77734375" style="312" customWidth="1" collapsed="1"/>
    <col min="11" max="11" width="8.77734375" style="312" customWidth="1"/>
    <col min="12" max="13" width="7.77734375" style="310" customWidth="1"/>
    <col min="14" max="14" width="12.6640625" style="310" customWidth="1"/>
    <col min="15" max="16384" width="8.88671875" style="231"/>
  </cols>
  <sheetData>
    <row r="1" spans="1:14" ht="18.600000000000001" customHeight="1" thickBot="1" x14ac:dyDescent="0.4">
      <c r="A1" s="519" t="s">
        <v>179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</row>
    <row r="2" spans="1:14" ht="14.4" customHeight="1" thickBot="1" x14ac:dyDescent="0.35">
      <c r="A2" s="348" t="s">
        <v>297</v>
      </c>
      <c r="B2" s="66"/>
      <c r="C2" s="314"/>
      <c r="D2" s="314"/>
      <c r="E2" s="427"/>
      <c r="F2" s="314"/>
      <c r="G2" s="314"/>
      <c r="H2" s="314"/>
      <c r="I2" s="314"/>
      <c r="J2" s="314"/>
      <c r="K2" s="314"/>
      <c r="L2" s="315"/>
      <c r="M2" s="315"/>
      <c r="N2" s="315"/>
    </row>
    <row r="3" spans="1:14" ht="14.4" customHeight="1" thickBot="1" x14ac:dyDescent="0.35">
      <c r="A3" s="66"/>
      <c r="B3" s="66"/>
      <c r="C3" s="515"/>
      <c r="D3" s="516"/>
      <c r="E3" s="516"/>
      <c r="F3" s="516"/>
      <c r="G3" s="516"/>
      <c r="H3" s="516"/>
      <c r="I3" s="516"/>
      <c r="J3" s="517" t="s">
        <v>141</v>
      </c>
      <c r="K3" s="518"/>
      <c r="L3" s="188">
        <f>IF(M3&lt;&gt;0,N3/M3,0)</f>
        <v>392.14132485852667</v>
      </c>
      <c r="M3" s="188">
        <f>SUBTOTAL(9,M5:M1048576)</f>
        <v>27680.750000000004</v>
      </c>
      <c r="N3" s="189">
        <f>SUBTOTAL(9,N5:N1048576)</f>
        <v>10854765.978077663</v>
      </c>
    </row>
    <row r="4" spans="1:14" s="311" customFormat="1" ht="14.4" customHeight="1" thickBot="1" x14ac:dyDescent="0.35">
      <c r="A4" s="681" t="s">
        <v>4</v>
      </c>
      <c r="B4" s="682" t="s">
        <v>5</v>
      </c>
      <c r="C4" s="682" t="s">
        <v>0</v>
      </c>
      <c r="D4" s="682" t="s">
        <v>6</v>
      </c>
      <c r="E4" s="683" t="s">
        <v>7</v>
      </c>
      <c r="F4" s="682" t="s">
        <v>1</v>
      </c>
      <c r="G4" s="682" t="s">
        <v>8</v>
      </c>
      <c r="H4" s="682" t="s">
        <v>9</v>
      </c>
      <c r="I4" s="682" t="s">
        <v>10</v>
      </c>
      <c r="J4" s="684" t="s">
        <v>11</v>
      </c>
      <c r="K4" s="684" t="s">
        <v>12</v>
      </c>
      <c r="L4" s="685" t="s">
        <v>164</v>
      </c>
      <c r="M4" s="685" t="s">
        <v>13</v>
      </c>
      <c r="N4" s="686" t="s">
        <v>175</v>
      </c>
    </row>
    <row r="5" spans="1:14" ht="14.4" customHeight="1" x14ac:dyDescent="0.3">
      <c r="A5" s="689" t="s">
        <v>505</v>
      </c>
      <c r="B5" s="690" t="s">
        <v>506</v>
      </c>
      <c r="C5" s="691" t="s">
        <v>519</v>
      </c>
      <c r="D5" s="692" t="s">
        <v>520</v>
      </c>
      <c r="E5" s="693">
        <v>50113001</v>
      </c>
      <c r="F5" s="692" t="s">
        <v>524</v>
      </c>
      <c r="G5" s="691" t="s">
        <v>525</v>
      </c>
      <c r="H5" s="691">
        <v>146686</v>
      </c>
      <c r="I5" s="691">
        <v>146686</v>
      </c>
      <c r="J5" s="691" t="s">
        <v>526</v>
      </c>
      <c r="K5" s="691" t="s">
        <v>527</v>
      </c>
      <c r="L5" s="694">
        <v>19.8</v>
      </c>
      <c r="M5" s="694">
        <v>140</v>
      </c>
      <c r="N5" s="695">
        <v>2772</v>
      </c>
    </row>
    <row r="6" spans="1:14" ht="14.4" customHeight="1" x14ac:dyDescent="0.3">
      <c r="A6" s="696" t="s">
        <v>505</v>
      </c>
      <c r="B6" s="697" t="s">
        <v>506</v>
      </c>
      <c r="C6" s="698" t="s">
        <v>519</v>
      </c>
      <c r="D6" s="699" t="s">
        <v>520</v>
      </c>
      <c r="E6" s="700">
        <v>50113001</v>
      </c>
      <c r="F6" s="699" t="s">
        <v>524</v>
      </c>
      <c r="G6" s="698" t="s">
        <v>525</v>
      </c>
      <c r="H6" s="698">
        <v>846758</v>
      </c>
      <c r="I6" s="698">
        <v>103387</v>
      </c>
      <c r="J6" s="698" t="s">
        <v>528</v>
      </c>
      <c r="K6" s="698" t="s">
        <v>529</v>
      </c>
      <c r="L6" s="701">
        <v>72.480235895563524</v>
      </c>
      <c r="M6" s="701">
        <v>636</v>
      </c>
      <c r="N6" s="702">
        <v>46097.430029578398</v>
      </c>
    </row>
    <row r="7" spans="1:14" ht="14.4" customHeight="1" x14ac:dyDescent="0.3">
      <c r="A7" s="696" t="s">
        <v>505</v>
      </c>
      <c r="B7" s="697" t="s">
        <v>506</v>
      </c>
      <c r="C7" s="698" t="s">
        <v>519</v>
      </c>
      <c r="D7" s="699" t="s">
        <v>520</v>
      </c>
      <c r="E7" s="700">
        <v>50113001</v>
      </c>
      <c r="F7" s="699" t="s">
        <v>524</v>
      </c>
      <c r="G7" s="698" t="s">
        <v>525</v>
      </c>
      <c r="H7" s="698">
        <v>175939</v>
      </c>
      <c r="I7" s="698">
        <v>75939</v>
      </c>
      <c r="J7" s="698" t="s">
        <v>530</v>
      </c>
      <c r="K7" s="698" t="s">
        <v>531</v>
      </c>
      <c r="L7" s="701">
        <v>115.44999999999999</v>
      </c>
      <c r="M7" s="701">
        <v>1</v>
      </c>
      <c r="N7" s="702">
        <v>115.44999999999999</v>
      </c>
    </row>
    <row r="8" spans="1:14" ht="14.4" customHeight="1" x14ac:dyDescent="0.3">
      <c r="A8" s="696" t="s">
        <v>505</v>
      </c>
      <c r="B8" s="697" t="s">
        <v>506</v>
      </c>
      <c r="C8" s="698" t="s">
        <v>519</v>
      </c>
      <c r="D8" s="699" t="s">
        <v>520</v>
      </c>
      <c r="E8" s="700">
        <v>50113001</v>
      </c>
      <c r="F8" s="699" t="s">
        <v>524</v>
      </c>
      <c r="G8" s="698" t="s">
        <v>525</v>
      </c>
      <c r="H8" s="698">
        <v>192729</v>
      </c>
      <c r="I8" s="698">
        <v>92729</v>
      </c>
      <c r="J8" s="698" t="s">
        <v>532</v>
      </c>
      <c r="K8" s="698" t="s">
        <v>533</v>
      </c>
      <c r="L8" s="701">
        <v>48.394421768707495</v>
      </c>
      <c r="M8" s="701">
        <v>147</v>
      </c>
      <c r="N8" s="702">
        <v>7113.9800000000014</v>
      </c>
    </row>
    <row r="9" spans="1:14" ht="14.4" customHeight="1" x14ac:dyDescent="0.3">
      <c r="A9" s="696" t="s">
        <v>505</v>
      </c>
      <c r="B9" s="697" t="s">
        <v>506</v>
      </c>
      <c r="C9" s="698" t="s">
        <v>519</v>
      </c>
      <c r="D9" s="699" t="s">
        <v>520</v>
      </c>
      <c r="E9" s="700">
        <v>50113001</v>
      </c>
      <c r="F9" s="699" t="s">
        <v>524</v>
      </c>
      <c r="G9" s="698" t="s">
        <v>525</v>
      </c>
      <c r="H9" s="698">
        <v>192730</v>
      </c>
      <c r="I9" s="698">
        <v>92730</v>
      </c>
      <c r="J9" s="698" t="s">
        <v>532</v>
      </c>
      <c r="K9" s="698" t="s">
        <v>534</v>
      </c>
      <c r="L9" s="701">
        <v>450.34571428571434</v>
      </c>
      <c r="M9" s="701">
        <v>7</v>
      </c>
      <c r="N9" s="702">
        <v>3152.4200000000005</v>
      </c>
    </row>
    <row r="10" spans="1:14" ht="14.4" customHeight="1" x14ac:dyDescent="0.3">
      <c r="A10" s="696" t="s">
        <v>505</v>
      </c>
      <c r="B10" s="697" t="s">
        <v>506</v>
      </c>
      <c r="C10" s="698" t="s">
        <v>519</v>
      </c>
      <c r="D10" s="699" t="s">
        <v>520</v>
      </c>
      <c r="E10" s="700">
        <v>50113001</v>
      </c>
      <c r="F10" s="699" t="s">
        <v>524</v>
      </c>
      <c r="G10" s="698" t="s">
        <v>525</v>
      </c>
      <c r="H10" s="698">
        <v>176064</v>
      </c>
      <c r="I10" s="698">
        <v>76064</v>
      </c>
      <c r="J10" s="698" t="s">
        <v>535</v>
      </c>
      <c r="K10" s="698" t="s">
        <v>536</v>
      </c>
      <c r="L10" s="701">
        <v>83.949999999999974</v>
      </c>
      <c r="M10" s="701">
        <v>1</v>
      </c>
      <c r="N10" s="702">
        <v>83.949999999999974</v>
      </c>
    </row>
    <row r="11" spans="1:14" ht="14.4" customHeight="1" x14ac:dyDescent="0.3">
      <c r="A11" s="696" t="s">
        <v>505</v>
      </c>
      <c r="B11" s="697" t="s">
        <v>506</v>
      </c>
      <c r="C11" s="698" t="s">
        <v>519</v>
      </c>
      <c r="D11" s="699" t="s">
        <v>520</v>
      </c>
      <c r="E11" s="700">
        <v>50113001</v>
      </c>
      <c r="F11" s="699" t="s">
        <v>524</v>
      </c>
      <c r="G11" s="698" t="s">
        <v>525</v>
      </c>
      <c r="H11" s="698">
        <v>197323</v>
      </c>
      <c r="I11" s="698">
        <v>197323</v>
      </c>
      <c r="J11" s="698" t="s">
        <v>537</v>
      </c>
      <c r="K11" s="698" t="s">
        <v>538</v>
      </c>
      <c r="L11" s="701">
        <v>1335.2000000000003</v>
      </c>
      <c r="M11" s="701">
        <v>15</v>
      </c>
      <c r="N11" s="702">
        <v>20028.000000000004</v>
      </c>
    </row>
    <row r="12" spans="1:14" ht="14.4" customHeight="1" x14ac:dyDescent="0.3">
      <c r="A12" s="696" t="s">
        <v>505</v>
      </c>
      <c r="B12" s="697" t="s">
        <v>506</v>
      </c>
      <c r="C12" s="698" t="s">
        <v>519</v>
      </c>
      <c r="D12" s="699" t="s">
        <v>520</v>
      </c>
      <c r="E12" s="700">
        <v>50113001</v>
      </c>
      <c r="F12" s="699" t="s">
        <v>524</v>
      </c>
      <c r="G12" s="698" t="s">
        <v>525</v>
      </c>
      <c r="H12" s="698">
        <v>100362</v>
      </c>
      <c r="I12" s="698">
        <v>362</v>
      </c>
      <c r="J12" s="698" t="s">
        <v>539</v>
      </c>
      <c r="K12" s="698" t="s">
        <v>540</v>
      </c>
      <c r="L12" s="701">
        <v>86.432500000000005</v>
      </c>
      <c r="M12" s="701">
        <v>24</v>
      </c>
      <c r="N12" s="702">
        <v>2074.38</v>
      </c>
    </row>
    <row r="13" spans="1:14" ht="14.4" customHeight="1" x14ac:dyDescent="0.3">
      <c r="A13" s="696" t="s">
        <v>505</v>
      </c>
      <c r="B13" s="697" t="s">
        <v>506</v>
      </c>
      <c r="C13" s="698" t="s">
        <v>519</v>
      </c>
      <c r="D13" s="699" t="s">
        <v>520</v>
      </c>
      <c r="E13" s="700">
        <v>50113001</v>
      </c>
      <c r="F13" s="699" t="s">
        <v>524</v>
      </c>
      <c r="G13" s="698" t="s">
        <v>525</v>
      </c>
      <c r="H13" s="698">
        <v>202701</v>
      </c>
      <c r="I13" s="698">
        <v>202701</v>
      </c>
      <c r="J13" s="698" t="s">
        <v>541</v>
      </c>
      <c r="K13" s="698" t="s">
        <v>542</v>
      </c>
      <c r="L13" s="701">
        <v>129.64333333333332</v>
      </c>
      <c r="M13" s="701">
        <v>3</v>
      </c>
      <c r="N13" s="702">
        <v>388.92999999999995</v>
      </c>
    </row>
    <row r="14" spans="1:14" ht="14.4" customHeight="1" x14ac:dyDescent="0.3">
      <c r="A14" s="696" t="s">
        <v>505</v>
      </c>
      <c r="B14" s="697" t="s">
        <v>506</v>
      </c>
      <c r="C14" s="698" t="s">
        <v>519</v>
      </c>
      <c r="D14" s="699" t="s">
        <v>520</v>
      </c>
      <c r="E14" s="700">
        <v>50113001</v>
      </c>
      <c r="F14" s="699" t="s">
        <v>524</v>
      </c>
      <c r="G14" s="698" t="s">
        <v>525</v>
      </c>
      <c r="H14" s="698">
        <v>845008</v>
      </c>
      <c r="I14" s="698">
        <v>107806</v>
      </c>
      <c r="J14" s="698" t="s">
        <v>541</v>
      </c>
      <c r="K14" s="698" t="s">
        <v>543</v>
      </c>
      <c r="L14" s="701">
        <v>63.18</v>
      </c>
      <c r="M14" s="701">
        <v>15</v>
      </c>
      <c r="N14" s="702">
        <v>947.7</v>
      </c>
    </row>
    <row r="15" spans="1:14" ht="14.4" customHeight="1" x14ac:dyDescent="0.3">
      <c r="A15" s="696" t="s">
        <v>505</v>
      </c>
      <c r="B15" s="697" t="s">
        <v>506</v>
      </c>
      <c r="C15" s="698" t="s">
        <v>519</v>
      </c>
      <c r="D15" s="699" t="s">
        <v>520</v>
      </c>
      <c r="E15" s="700">
        <v>50113001</v>
      </c>
      <c r="F15" s="699" t="s">
        <v>524</v>
      </c>
      <c r="G15" s="698" t="s">
        <v>525</v>
      </c>
      <c r="H15" s="698">
        <v>153200</v>
      </c>
      <c r="I15" s="698">
        <v>53200</v>
      </c>
      <c r="J15" s="698" t="s">
        <v>544</v>
      </c>
      <c r="K15" s="698" t="s">
        <v>545</v>
      </c>
      <c r="L15" s="701">
        <v>52.447744360902249</v>
      </c>
      <c r="M15" s="701">
        <v>133</v>
      </c>
      <c r="N15" s="702">
        <v>6975.5499999999993</v>
      </c>
    </row>
    <row r="16" spans="1:14" ht="14.4" customHeight="1" x14ac:dyDescent="0.3">
      <c r="A16" s="696" t="s">
        <v>505</v>
      </c>
      <c r="B16" s="697" t="s">
        <v>506</v>
      </c>
      <c r="C16" s="698" t="s">
        <v>519</v>
      </c>
      <c r="D16" s="699" t="s">
        <v>520</v>
      </c>
      <c r="E16" s="700">
        <v>50113001</v>
      </c>
      <c r="F16" s="699" t="s">
        <v>524</v>
      </c>
      <c r="G16" s="698" t="s">
        <v>546</v>
      </c>
      <c r="H16" s="698">
        <v>102954</v>
      </c>
      <c r="I16" s="698">
        <v>2954</v>
      </c>
      <c r="J16" s="698" t="s">
        <v>547</v>
      </c>
      <c r="K16" s="698" t="s">
        <v>548</v>
      </c>
      <c r="L16" s="701">
        <v>15</v>
      </c>
      <c r="M16" s="701">
        <v>1</v>
      </c>
      <c r="N16" s="702">
        <v>15</v>
      </c>
    </row>
    <row r="17" spans="1:14" ht="14.4" customHeight="1" x14ac:dyDescent="0.3">
      <c r="A17" s="696" t="s">
        <v>505</v>
      </c>
      <c r="B17" s="697" t="s">
        <v>506</v>
      </c>
      <c r="C17" s="698" t="s">
        <v>519</v>
      </c>
      <c r="D17" s="699" t="s">
        <v>520</v>
      </c>
      <c r="E17" s="700">
        <v>50113001</v>
      </c>
      <c r="F17" s="699" t="s">
        <v>524</v>
      </c>
      <c r="G17" s="698" t="s">
        <v>546</v>
      </c>
      <c r="H17" s="698">
        <v>102945</v>
      </c>
      <c r="I17" s="698">
        <v>2945</v>
      </c>
      <c r="J17" s="698" t="s">
        <v>549</v>
      </c>
      <c r="K17" s="698" t="s">
        <v>550</v>
      </c>
      <c r="L17" s="701">
        <v>8.6699999999999982</v>
      </c>
      <c r="M17" s="701">
        <v>3</v>
      </c>
      <c r="N17" s="702">
        <v>26.009999999999994</v>
      </c>
    </row>
    <row r="18" spans="1:14" ht="14.4" customHeight="1" x14ac:dyDescent="0.3">
      <c r="A18" s="696" t="s">
        <v>505</v>
      </c>
      <c r="B18" s="697" t="s">
        <v>506</v>
      </c>
      <c r="C18" s="698" t="s">
        <v>519</v>
      </c>
      <c r="D18" s="699" t="s">
        <v>520</v>
      </c>
      <c r="E18" s="700">
        <v>50113001</v>
      </c>
      <c r="F18" s="699" t="s">
        <v>524</v>
      </c>
      <c r="G18" s="698" t="s">
        <v>546</v>
      </c>
      <c r="H18" s="698">
        <v>115378</v>
      </c>
      <c r="I18" s="698">
        <v>15378</v>
      </c>
      <c r="J18" s="698" t="s">
        <v>549</v>
      </c>
      <c r="K18" s="698" t="s">
        <v>551</v>
      </c>
      <c r="L18" s="701">
        <v>21.210000000000004</v>
      </c>
      <c r="M18" s="701">
        <v>1</v>
      </c>
      <c r="N18" s="702">
        <v>21.210000000000004</v>
      </c>
    </row>
    <row r="19" spans="1:14" ht="14.4" customHeight="1" x14ac:dyDescent="0.3">
      <c r="A19" s="696" t="s">
        <v>505</v>
      </c>
      <c r="B19" s="697" t="s">
        <v>506</v>
      </c>
      <c r="C19" s="698" t="s">
        <v>519</v>
      </c>
      <c r="D19" s="699" t="s">
        <v>520</v>
      </c>
      <c r="E19" s="700">
        <v>50113001</v>
      </c>
      <c r="F19" s="699" t="s">
        <v>524</v>
      </c>
      <c r="G19" s="698" t="s">
        <v>525</v>
      </c>
      <c r="H19" s="698">
        <v>176954</v>
      </c>
      <c r="I19" s="698">
        <v>176954</v>
      </c>
      <c r="J19" s="698" t="s">
        <v>552</v>
      </c>
      <c r="K19" s="698" t="s">
        <v>553</v>
      </c>
      <c r="L19" s="701">
        <v>94.568571428571445</v>
      </c>
      <c r="M19" s="701">
        <v>14</v>
      </c>
      <c r="N19" s="702">
        <v>1323.9600000000003</v>
      </c>
    </row>
    <row r="20" spans="1:14" ht="14.4" customHeight="1" x14ac:dyDescent="0.3">
      <c r="A20" s="696" t="s">
        <v>505</v>
      </c>
      <c r="B20" s="697" t="s">
        <v>506</v>
      </c>
      <c r="C20" s="698" t="s">
        <v>519</v>
      </c>
      <c r="D20" s="699" t="s">
        <v>520</v>
      </c>
      <c r="E20" s="700">
        <v>50113001</v>
      </c>
      <c r="F20" s="699" t="s">
        <v>524</v>
      </c>
      <c r="G20" s="698" t="s">
        <v>525</v>
      </c>
      <c r="H20" s="698">
        <v>167547</v>
      </c>
      <c r="I20" s="698">
        <v>67547</v>
      </c>
      <c r="J20" s="698" t="s">
        <v>554</v>
      </c>
      <c r="K20" s="698" t="s">
        <v>555</v>
      </c>
      <c r="L20" s="701">
        <v>46.907692307692315</v>
      </c>
      <c r="M20" s="701">
        <v>26</v>
      </c>
      <c r="N20" s="702">
        <v>1219.6000000000001</v>
      </c>
    </row>
    <row r="21" spans="1:14" ht="14.4" customHeight="1" x14ac:dyDescent="0.3">
      <c r="A21" s="696" t="s">
        <v>505</v>
      </c>
      <c r="B21" s="697" t="s">
        <v>506</v>
      </c>
      <c r="C21" s="698" t="s">
        <v>519</v>
      </c>
      <c r="D21" s="699" t="s">
        <v>520</v>
      </c>
      <c r="E21" s="700">
        <v>50113001</v>
      </c>
      <c r="F21" s="699" t="s">
        <v>524</v>
      </c>
      <c r="G21" s="698" t="s">
        <v>546</v>
      </c>
      <c r="H21" s="698">
        <v>127260</v>
      </c>
      <c r="I21" s="698">
        <v>127260</v>
      </c>
      <c r="J21" s="698" t="s">
        <v>556</v>
      </c>
      <c r="K21" s="698" t="s">
        <v>557</v>
      </c>
      <c r="L21" s="701">
        <v>16.199999999999996</v>
      </c>
      <c r="M21" s="701">
        <v>2</v>
      </c>
      <c r="N21" s="702">
        <v>32.399999999999991</v>
      </c>
    </row>
    <row r="22" spans="1:14" ht="14.4" customHeight="1" x14ac:dyDescent="0.3">
      <c r="A22" s="696" t="s">
        <v>505</v>
      </c>
      <c r="B22" s="697" t="s">
        <v>506</v>
      </c>
      <c r="C22" s="698" t="s">
        <v>519</v>
      </c>
      <c r="D22" s="699" t="s">
        <v>520</v>
      </c>
      <c r="E22" s="700">
        <v>50113001</v>
      </c>
      <c r="F22" s="699" t="s">
        <v>524</v>
      </c>
      <c r="G22" s="698" t="s">
        <v>525</v>
      </c>
      <c r="H22" s="698">
        <v>214421</v>
      </c>
      <c r="I22" s="698">
        <v>214421</v>
      </c>
      <c r="J22" s="698" t="s">
        <v>558</v>
      </c>
      <c r="K22" s="698" t="s">
        <v>559</v>
      </c>
      <c r="L22" s="701">
        <v>280.03000000000003</v>
      </c>
      <c r="M22" s="701">
        <v>1</v>
      </c>
      <c r="N22" s="702">
        <v>280.03000000000003</v>
      </c>
    </row>
    <row r="23" spans="1:14" ht="14.4" customHeight="1" x14ac:dyDescent="0.3">
      <c r="A23" s="696" t="s">
        <v>505</v>
      </c>
      <c r="B23" s="697" t="s">
        <v>506</v>
      </c>
      <c r="C23" s="698" t="s">
        <v>519</v>
      </c>
      <c r="D23" s="699" t="s">
        <v>520</v>
      </c>
      <c r="E23" s="700">
        <v>50113001</v>
      </c>
      <c r="F23" s="699" t="s">
        <v>524</v>
      </c>
      <c r="G23" s="698" t="s">
        <v>525</v>
      </c>
      <c r="H23" s="698">
        <v>194919</v>
      </c>
      <c r="I23" s="698">
        <v>94919</v>
      </c>
      <c r="J23" s="698" t="s">
        <v>560</v>
      </c>
      <c r="K23" s="698" t="s">
        <v>561</v>
      </c>
      <c r="L23" s="701">
        <v>51.841750000000005</v>
      </c>
      <c r="M23" s="701">
        <v>40</v>
      </c>
      <c r="N23" s="702">
        <v>2073.67</v>
      </c>
    </row>
    <row r="24" spans="1:14" ht="14.4" customHeight="1" x14ac:dyDescent="0.3">
      <c r="A24" s="696" t="s">
        <v>505</v>
      </c>
      <c r="B24" s="697" t="s">
        <v>506</v>
      </c>
      <c r="C24" s="698" t="s">
        <v>519</v>
      </c>
      <c r="D24" s="699" t="s">
        <v>520</v>
      </c>
      <c r="E24" s="700">
        <v>50113001</v>
      </c>
      <c r="F24" s="699" t="s">
        <v>524</v>
      </c>
      <c r="G24" s="698" t="s">
        <v>525</v>
      </c>
      <c r="H24" s="698">
        <v>194920</v>
      </c>
      <c r="I24" s="698">
        <v>94920</v>
      </c>
      <c r="J24" s="698" t="s">
        <v>560</v>
      </c>
      <c r="K24" s="698" t="s">
        <v>562</v>
      </c>
      <c r="L24" s="701">
        <v>74.273333333333326</v>
      </c>
      <c r="M24" s="701">
        <v>15</v>
      </c>
      <c r="N24" s="702">
        <v>1114.0999999999999</v>
      </c>
    </row>
    <row r="25" spans="1:14" ht="14.4" customHeight="1" x14ac:dyDescent="0.3">
      <c r="A25" s="696" t="s">
        <v>505</v>
      </c>
      <c r="B25" s="697" t="s">
        <v>506</v>
      </c>
      <c r="C25" s="698" t="s">
        <v>519</v>
      </c>
      <c r="D25" s="699" t="s">
        <v>520</v>
      </c>
      <c r="E25" s="700">
        <v>50113001</v>
      </c>
      <c r="F25" s="699" t="s">
        <v>524</v>
      </c>
      <c r="G25" s="698" t="s">
        <v>525</v>
      </c>
      <c r="H25" s="698">
        <v>187167</v>
      </c>
      <c r="I25" s="698">
        <v>87167</v>
      </c>
      <c r="J25" s="698" t="s">
        <v>563</v>
      </c>
      <c r="K25" s="698" t="s">
        <v>564</v>
      </c>
      <c r="L25" s="701">
        <v>41.52999999999998</v>
      </c>
      <c r="M25" s="701">
        <v>1</v>
      </c>
      <c r="N25" s="702">
        <v>41.52999999999998</v>
      </c>
    </row>
    <row r="26" spans="1:14" ht="14.4" customHeight="1" x14ac:dyDescent="0.3">
      <c r="A26" s="696" t="s">
        <v>505</v>
      </c>
      <c r="B26" s="697" t="s">
        <v>506</v>
      </c>
      <c r="C26" s="698" t="s">
        <v>519</v>
      </c>
      <c r="D26" s="699" t="s">
        <v>520</v>
      </c>
      <c r="E26" s="700">
        <v>50113001</v>
      </c>
      <c r="F26" s="699" t="s">
        <v>524</v>
      </c>
      <c r="G26" s="698" t="s">
        <v>525</v>
      </c>
      <c r="H26" s="698">
        <v>845369</v>
      </c>
      <c r="I26" s="698">
        <v>107987</v>
      </c>
      <c r="J26" s="698" t="s">
        <v>565</v>
      </c>
      <c r="K26" s="698" t="s">
        <v>566</v>
      </c>
      <c r="L26" s="701">
        <v>112.28200000000001</v>
      </c>
      <c r="M26" s="701">
        <v>10</v>
      </c>
      <c r="N26" s="702">
        <v>1122.8200000000002</v>
      </c>
    </row>
    <row r="27" spans="1:14" ht="14.4" customHeight="1" x14ac:dyDescent="0.3">
      <c r="A27" s="696" t="s">
        <v>505</v>
      </c>
      <c r="B27" s="697" t="s">
        <v>506</v>
      </c>
      <c r="C27" s="698" t="s">
        <v>519</v>
      </c>
      <c r="D27" s="699" t="s">
        <v>520</v>
      </c>
      <c r="E27" s="700">
        <v>50113001</v>
      </c>
      <c r="F27" s="699" t="s">
        <v>524</v>
      </c>
      <c r="G27" s="698" t="s">
        <v>507</v>
      </c>
      <c r="H27" s="698">
        <v>158668</v>
      </c>
      <c r="I27" s="698">
        <v>158668</v>
      </c>
      <c r="J27" s="698" t="s">
        <v>567</v>
      </c>
      <c r="K27" s="698" t="s">
        <v>568</v>
      </c>
      <c r="L27" s="701">
        <v>71.81</v>
      </c>
      <c r="M27" s="701">
        <v>80</v>
      </c>
      <c r="N27" s="702">
        <v>5744.8</v>
      </c>
    </row>
    <row r="28" spans="1:14" ht="14.4" customHeight="1" x14ac:dyDescent="0.3">
      <c r="A28" s="696" t="s">
        <v>505</v>
      </c>
      <c r="B28" s="697" t="s">
        <v>506</v>
      </c>
      <c r="C28" s="698" t="s">
        <v>519</v>
      </c>
      <c r="D28" s="699" t="s">
        <v>520</v>
      </c>
      <c r="E28" s="700">
        <v>50113001</v>
      </c>
      <c r="F28" s="699" t="s">
        <v>524</v>
      </c>
      <c r="G28" s="698" t="s">
        <v>525</v>
      </c>
      <c r="H28" s="698">
        <v>844960</v>
      </c>
      <c r="I28" s="698">
        <v>125114</v>
      </c>
      <c r="J28" s="698" t="s">
        <v>569</v>
      </c>
      <c r="K28" s="698" t="s">
        <v>570</v>
      </c>
      <c r="L28" s="701">
        <v>57.849999999999994</v>
      </c>
      <c r="M28" s="701">
        <v>2</v>
      </c>
      <c r="N28" s="702">
        <v>115.69999999999999</v>
      </c>
    </row>
    <row r="29" spans="1:14" ht="14.4" customHeight="1" x14ac:dyDescent="0.3">
      <c r="A29" s="696" t="s">
        <v>505</v>
      </c>
      <c r="B29" s="697" t="s">
        <v>506</v>
      </c>
      <c r="C29" s="698" t="s">
        <v>519</v>
      </c>
      <c r="D29" s="699" t="s">
        <v>520</v>
      </c>
      <c r="E29" s="700">
        <v>50113001</v>
      </c>
      <c r="F29" s="699" t="s">
        <v>524</v>
      </c>
      <c r="G29" s="698" t="s">
        <v>525</v>
      </c>
      <c r="H29" s="698">
        <v>196610</v>
      </c>
      <c r="I29" s="698">
        <v>96610</v>
      </c>
      <c r="J29" s="698" t="s">
        <v>571</v>
      </c>
      <c r="K29" s="698" t="s">
        <v>572</v>
      </c>
      <c r="L29" s="701">
        <v>46.294444506104767</v>
      </c>
      <c r="M29" s="701">
        <v>90</v>
      </c>
      <c r="N29" s="702">
        <v>4166.5000055494293</v>
      </c>
    </row>
    <row r="30" spans="1:14" ht="14.4" customHeight="1" x14ac:dyDescent="0.3">
      <c r="A30" s="696" t="s">
        <v>505</v>
      </c>
      <c r="B30" s="697" t="s">
        <v>506</v>
      </c>
      <c r="C30" s="698" t="s">
        <v>519</v>
      </c>
      <c r="D30" s="699" t="s">
        <v>520</v>
      </c>
      <c r="E30" s="700">
        <v>50113001</v>
      </c>
      <c r="F30" s="699" t="s">
        <v>524</v>
      </c>
      <c r="G30" s="698" t="s">
        <v>525</v>
      </c>
      <c r="H30" s="698">
        <v>189244</v>
      </c>
      <c r="I30" s="698">
        <v>89244</v>
      </c>
      <c r="J30" s="698" t="s">
        <v>573</v>
      </c>
      <c r="K30" s="698" t="s">
        <v>574</v>
      </c>
      <c r="L30" s="701">
        <v>20.760000000000005</v>
      </c>
      <c r="M30" s="701">
        <v>210</v>
      </c>
      <c r="N30" s="702">
        <v>4359.6000000000013</v>
      </c>
    </row>
    <row r="31" spans="1:14" ht="14.4" customHeight="1" x14ac:dyDescent="0.3">
      <c r="A31" s="696" t="s">
        <v>505</v>
      </c>
      <c r="B31" s="697" t="s">
        <v>506</v>
      </c>
      <c r="C31" s="698" t="s">
        <v>519</v>
      </c>
      <c r="D31" s="699" t="s">
        <v>520</v>
      </c>
      <c r="E31" s="700">
        <v>50113001</v>
      </c>
      <c r="F31" s="699" t="s">
        <v>524</v>
      </c>
      <c r="G31" s="698" t="s">
        <v>525</v>
      </c>
      <c r="H31" s="698">
        <v>110555</v>
      </c>
      <c r="I31" s="698">
        <v>10555</v>
      </c>
      <c r="J31" s="698" t="s">
        <v>575</v>
      </c>
      <c r="K31" s="698" t="s">
        <v>576</v>
      </c>
      <c r="L31" s="701">
        <v>254.97999999999996</v>
      </c>
      <c r="M31" s="701">
        <v>5</v>
      </c>
      <c r="N31" s="702">
        <v>1274.8999999999999</v>
      </c>
    </row>
    <row r="32" spans="1:14" ht="14.4" customHeight="1" x14ac:dyDescent="0.3">
      <c r="A32" s="696" t="s">
        <v>505</v>
      </c>
      <c r="B32" s="697" t="s">
        <v>506</v>
      </c>
      <c r="C32" s="698" t="s">
        <v>519</v>
      </c>
      <c r="D32" s="699" t="s">
        <v>520</v>
      </c>
      <c r="E32" s="700">
        <v>50113001</v>
      </c>
      <c r="F32" s="699" t="s">
        <v>524</v>
      </c>
      <c r="G32" s="698" t="s">
        <v>525</v>
      </c>
      <c r="H32" s="698">
        <v>169595</v>
      </c>
      <c r="I32" s="698">
        <v>69595</v>
      </c>
      <c r="J32" s="698" t="s">
        <v>577</v>
      </c>
      <c r="K32" s="698" t="s">
        <v>578</v>
      </c>
      <c r="L32" s="701">
        <v>612.61</v>
      </c>
      <c r="M32" s="701">
        <v>10</v>
      </c>
      <c r="N32" s="702">
        <v>6126.1</v>
      </c>
    </row>
    <row r="33" spans="1:14" ht="14.4" customHeight="1" x14ac:dyDescent="0.3">
      <c r="A33" s="696" t="s">
        <v>505</v>
      </c>
      <c r="B33" s="697" t="s">
        <v>506</v>
      </c>
      <c r="C33" s="698" t="s">
        <v>519</v>
      </c>
      <c r="D33" s="699" t="s">
        <v>520</v>
      </c>
      <c r="E33" s="700">
        <v>50113001</v>
      </c>
      <c r="F33" s="699" t="s">
        <v>524</v>
      </c>
      <c r="G33" s="698" t="s">
        <v>525</v>
      </c>
      <c r="H33" s="698">
        <v>187764</v>
      </c>
      <c r="I33" s="698">
        <v>87764</v>
      </c>
      <c r="J33" s="698" t="s">
        <v>579</v>
      </c>
      <c r="K33" s="698" t="s">
        <v>580</v>
      </c>
      <c r="L33" s="701">
        <v>52.459666666666671</v>
      </c>
      <c r="M33" s="701">
        <v>60</v>
      </c>
      <c r="N33" s="702">
        <v>3147.5800000000004</v>
      </c>
    </row>
    <row r="34" spans="1:14" ht="14.4" customHeight="1" x14ac:dyDescent="0.3">
      <c r="A34" s="696" t="s">
        <v>505</v>
      </c>
      <c r="B34" s="697" t="s">
        <v>506</v>
      </c>
      <c r="C34" s="698" t="s">
        <v>519</v>
      </c>
      <c r="D34" s="699" t="s">
        <v>520</v>
      </c>
      <c r="E34" s="700">
        <v>50113001</v>
      </c>
      <c r="F34" s="699" t="s">
        <v>524</v>
      </c>
      <c r="G34" s="698" t="s">
        <v>525</v>
      </c>
      <c r="H34" s="698">
        <v>187825</v>
      </c>
      <c r="I34" s="698">
        <v>87825</v>
      </c>
      <c r="J34" s="698" t="s">
        <v>581</v>
      </c>
      <c r="K34" s="698" t="s">
        <v>580</v>
      </c>
      <c r="L34" s="701">
        <v>80.37</v>
      </c>
      <c r="M34" s="701">
        <v>85</v>
      </c>
      <c r="N34" s="702">
        <v>6831.4500000000007</v>
      </c>
    </row>
    <row r="35" spans="1:14" ht="14.4" customHeight="1" x14ac:dyDescent="0.3">
      <c r="A35" s="696" t="s">
        <v>505</v>
      </c>
      <c r="B35" s="697" t="s">
        <v>506</v>
      </c>
      <c r="C35" s="698" t="s">
        <v>519</v>
      </c>
      <c r="D35" s="699" t="s">
        <v>520</v>
      </c>
      <c r="E35" s="700">
        <v>50113001</v>
      </c>
      <c r="F35" s="699" t="s">
        <v>524</v>
      </c>
      <c r="G35" s="698" t="s">
        <v>525</v>
      </c>
      <c r="H35" s="698">
        <v>169667</v>
      </c>
      <c r="I35" s="698">
        <v>69667</v>
      </c>
      <c r="J35" s="698" t="s">
        <v>582</v>
      </c>
      <c r="K35" s="698" t="s">
        <v>580</v>
      </c>
      <c r="L35" s="701">
        <v>103.56976862351281</v>
      </c>
      <c r="M35" s="701">
        <v>433</v>
      </c>
      <c r="N35" s="702">
        <v>44845.709813981048</v>
      </c>
    </row>
    <row r="36" spans="1:14" ht="14.4" customHeight="1" x14ac:dyDescent="0.3">
      <c r="A36" s="696" t="s">
        <v>505</v>
      </c>
      <c r="B36" s="697" t="s">
        <v>506</v>
      </c>
      <c r="C36" s="698" t="s">
        <v>519</v>
      </c>
      <c r="D36" s="699" t="s">
        <v>520</v>
      </c>
      <c r="E36" s="700">
        <v>50113001</v>
      </c>
      <c r="F36" s="699" t="s">
        <v>524</v>
      </c>
      <c r="G36" s="698" t="s">
        <v>525</v>
      </c>
      <c r="H36" s="698">
        <v>173394</v>
      </c>
      <c r="I36" s="698">
        <v>173394</v>
      </c>
      <c r="J36" s="698" t="s">
        <v>583</v>
      </c>
      <c r="K36" s="698" t="s">
        <v>584</v>
      </c>
      <c r="L36" s="701">
        <v>376.64</v>
      </c>
      <c r="M36" s="701">
        <v>0.5</v>
      </c>
      <c r="N36" s="702">
        <v>188.32</v>
      </c>
    </row>
    <row r="37" spans="1:14" ht="14.4" customHeight="1" x14ac:dyDescent="0.3">
      <c r="A37" s="696" t="s">
        <v>505</v>
      </c>
      <c r="B37" s="697" t="s">
        <v>506</v>
      </c>
      <c r="C37" s="698" t="s">
        <v>519</v>
      </c>
      <c r="D37" s="699" t="s">
        <v>520</v>
      </c>
      <c r="E37" s="700">
        <v>50113001</v>
      </c>
      <c r="F37" s="699" t="s">
        <v>524</v>
      </c>
      <c r="G37" s="698" t="s">
        <v>525</v>
      </c>
      <c r="H37" s="698">
        <v>187822</v>
      </c>
      <c r="I37" s="698">
        <v>87822</v>
      </c>
      <c r="J37" s="698" t="s">
        <v>585</v>
      </c>
      <c r="K37" s="698" t="s">
        <v>586</v>
      </c>
      <c r="L37" s="701">
        <v>1323.8700000000001</v>
      </c>
      <c r="M37" s="701">
        <v>4</v>
      </c>
      <c r="N37" s="702">
        <v>5295.4800000000005</v>
      </c>
    </row>
    <row r="38" spans="1:14" ht="14.4" customHeight="1" x14ac:dyDescent="0.3">
      <c r="A38" s="696" t="s">
        <v>505</v>
      </c>
      <c r="B38" s="697" t="s">
        <v>506</v>
      </c>
      <c r="C38" s="698" t="s">
        <v>519</v>
      </c>
      <c r="D38" s="699" t="s">
        <v>520</v>
      </c>
      <c r="E38" s="700">
        <v>50113001</v>
      </c>
      <c r="F38" s="699" t="s">
        <v>524</v>
      </c>
      <c r="G38" s="698" t="s">
        <v>525</v>
      </c>
      <c r="H38" s="698">
        <v>196303</v>
      </c>
      <c r="I38" s="698">
        <v>96303</v>
      </c>
      <c r="J38" s="698" t="s">
        <v>587</v>
      </c>
      <c r="K38" s="698" t="s">
        <v>588</v>
      </c>
      <c r="L38" s="701">
        <v>45.065000000000005</v>
      </c>
      <c r="M38" s="701">
        <v>4</v>
      </c>
      <c r="N38" s="702">
        <v>180.26000000000002</v>
      </c>
    </row>
    <row r="39" spans="1:14" ht="14.4" customHeight="1" x14ac:dyDescent="0.3">
      <c r="A39" s="696" t="s">
        <v>505</v>
      </c>
      <c r="B39" s="697" t="s">
        <v>506</v>
      </c>
      <c r="C39" s="698" t="s">
        <v>519</v>
      </c>
      <c r="D39" s="699" t="s">
        <v>520</v>
      </c>
      <c r="E39" s="700">
        <v>50113001</v>
      </c>
      <c r="F39" s="699" t="s">
        <v>524</v>
      </c>
      <c r="G39" s="698" t="s">
        <v>546</v>
      </c>
      <c r="H39" s="698">
        <v>102950</v>
      </c>
      <c r="I39" s="698">
        <v>2950</v>
      </c>
      <c r="J39" s="698" t="s">
        <v>589</v>
      </c>
      <c r="K39" s="698" t="s">
        <v>590</v>
      </c>
      <c r="L39" s="701">
        <v>98</v>
      </c>
      <c r="M39" s="701">
        <v>1</v>
      </c>
      <c r="N39" s="702">
        <v>98</v>
      </c>
    </row>
    <row r="40" spans="1:14" ht="14.4" customHeight="1" x14ac:dyDescent="0.3">
      <c r="A40" s="696" t="s">
        <v>505</v>
      </c>
      <c r="B40" s="697" t="s">
        <v>506</v>
      </c>
      <c r="C40" s="698" t="s">
        <v>519</v>
      </c>
      <c r="D40" s="699" t="s">
        <v>520</v>
      </c>
      <c r="E40" s="700">
        <v>50113001</v>
      </c>
      <c r="F40" s="699" t="s">
        <v>524</v>
      </c>
      <c r="G40" s="698" t="s">
        <v>525</v>
      </c>
      <c r="H40" s="698">
        <v>100392</v>
      </c>
      <c r="I40" s="698">
        <v>392</v>
      </c>
      <c r="J40" s="698" t="s">
        <v>591</v>
      </c>
      <c r="K40" s="698" t="s">
        <v>592</v>
      </c>
      <c r="L40" s="701">
        <v>57.590000000000018</v>
      </c>
      <c r="M40" s="701">
        <v>5</v>
      </c>
      <c r="N40" s="702">
        <v>287.9500000000001</v>
      </c>
    </row>
    <row r="41" spans="1:14" ht="14.4" customHeight="1" x14ac:dyDescent="0.3">
      <c r="A41" s="696" t="s">
        <v>505</v>
      </c>
      <c r="B41" s="697" t="s">
        <v>506</v>
      </c>
      <c r="C41" s="698" t="s">
        <v>519</v>
      </c>
      <c r="D41" s="699" t="s">
        <v>520</v>
      </c>
      <c r="E41" s="700">
        <v>50113001</v>
      </c>
      <c r="F41" s="699" t="s">
        <v>524</v>
      </c>
      <c r="G41" s="698" t="s">
        <v>525</v>
      </c>
      <c r="H41" s="698">
        <v>192351</v>
      </c>
      <c r="I41" s="698">
        <v>92351</v>
      </c>
      <c r="J41" s="698" t="s">
        <v>593</v>
      </c>
      <c r="K41" s="698" t="s">
        <v>594</v>
      </c>
      <c r="L41" s="701">
        <v>86.220000000000013</v>
      </c>
      <c r="M41" s="701">
        <v>55</v>
      </c>
      <c r="N41" s="702">
        <v>4742.1000000000004</v>
      </c>
    </row>
    <row r="42" spans="1:14" ht="14.4" customHeight="1" x14ac:dyDescent="0.3">
      <c r="A42" s="696" t="s">
        <v>505</v>
      </c>
      <c r="B42" s="697" t="s">
        <v>506</v>
      </c>
      <c r="C42" s="698" t="s">
        <v>519</v>
      </c>
      <c r="D42" s="699" t="s">
        <v>520</v>
      </c>
      <c r="E42" s="700">
        <v>50113001</v>
      </c>
      <c r="F42" s="699" t="s">
        <v>524</v>
      </c>
      <c r="G42" s="698" t="s">
        <v>546</v>
      </c>
      <c r="H42" s="698">
        <v>112892</v>
      </c>
      <c r="I42" s="698">
        <v>12892</v>
      </c>
      <c r="J42" s="698" t="s">
        <v>595</v>
      </c>
      <c r="K42" s="698" t="s">
        <v>596</v>
      </c>
      <c r="L42" s="701">
        <v>104.34250070509734</v>
      </c>
      <c r="M42" s="701">
        <v>4</v>
      </c>
      <c r="N42" s="702">
        <v>417.37000282038935</v>
      </c>
    </row>
    <row r="43" spans="1:14" ht="14.4" customHeight="1" x14ac:dyDescent="0.3">
      <c r="A43" s="696" t="s">
        <v>505</v>
      </c>
      <c r="B43" s="697" t="s">
        <v>506</v>
      </c>
      <c r="C43" s="698" t="s">
        <v>519</v>
      </c>
      <c r="D43" s="699" t="s">
        <v>520</v>
      </c>
      <c r="E43" s="700">
        <v>50113001</v>
      </c>
      <c r="F43" s="699" t="s">
        <v>524</v>
      </c>
      <c r="G43" s="698" t="s">
        <v>525</v>
      </c>
      <c r="H43" s="698">
        <v>844257</v>
      </c>
      <c r="I43" s="698">
        <v>29816</v>
      </c>
      <c r="J43" s="698" t="s">
        <v>597</v>
      </c>
      <c r="K43" s="698" t="s">
        <v>507</v>
      </c>
      <c r="L43" s="701">
        <v>177.66999999999993</v>
      </c>
      <c r="M43" s="701">
        <v>1</v>
      </c>
      <c r="N43" s="702">
        <v>177.66999999999993</v>
      </c>
    </row>
    <row r="44" spans="1:14" ht="14.4" customHeight="1" x14ac:dyDescent="0.3">
      <c r="A44" s="696" t="s">
        <v>505</v>
      </c>
      <c r="B44" s="697" t="s">
        <v>506</v>
      </c>
      <c r="C44" s="698" t="s">
        <v>519</v>
      </c>
      <c r="D44" s="699" t="s">
        <v>520</v>
      </c>
      <c r="E44" s="700">
        <v>50113001</v>
      </c>
      <c r="F44" s="699" t="s">
        <v>524</v>
      </c>
      <c r="G44" s="698" t="s">
        <v>525</v>
      </c>
      <c r="H44" s="698">
        <v>225036</v>
      </c>
      <c r="I44" s="698">
        <v>225036</v>
      </c>
      <c r="J44" s="698" t="s">
        <v>598</v>
      </c>
      <c r="K44" s="698" t="s">
        <v>599</v>
      </c>
      <c r="L44" s="701">
        <v>264.36</v>
      </c>
      <c r="M44" s="701">
        <v>3</v>
      </c>
      <c r="N44" s="702">
        <v>793.08</v>
      </c>
    </row>
    <row r="45" spans="1:14" ht="14.4" customHeight="1" x14ac:dyDescent="0.3">
      <c r="A45" s="696" t="s">
        <v>505</v>
      </c>
      <c r="B45" s="697" t="s">
        <v>506</v>
      </c>
      <c r="C45" s="698" t="s">
        <v>519</v>
      </c>
      <c r="D45" s="699" t="s">
        <v>520</v>
      </c>
      <c r="E45" s="700">
        <v>50113001</v>
      </c>
      <c r="F45" s="699" t="s">
        <v>524</v>
      </c>
      <c r="G45" s="698" t="s">
        <v>525</v>
      </c>
      <c r="H45" s="698">
        <v>140274</v>
      </c>
      <c r="I45" s="698">
        <v>40274</v>
      </c>
      <c r="J45" s="698" t="s">
        <v>600</v>
      </c>
      <c r="K45" s="698" t="s">
        <v>601</v>
      </c>
      <c r="L45" s="701">
        <v>51.770000000000039</v>
      </c>
      <c r="M45" s="701">
        <v>1</v>
      </c>
      <c r="N45" s="702">
        <v>51.770000000000039</v>
      </c>
    </row>
    <row r="46" spans="1:14" ht="14.4" customHeight="1" x14ac:dyDescent="0.3">
      <c r="A46" s="696" t="s">
        <v>505</v>
      </c>
      <c r="B46" s="697" t="s">
        <v>506</v>
      </c>
      <c r="C46" s="698" t="s">
        <v>519</v>
      </c>
      <c r="D46" s="699" t="s">
        <v>520</v>
      </c>
      <c r="E46" s="700">
        <v>50113001</v>
      </c>
      <c r="F46" s="699" t="s">
        <v>524</v>
      </c>
      <c r="G46" s="698" t="s">
        <v>525</v>
      </c>
      <c r="H46" s="698">
        <v>176496</v>
      </c>
      <c r="I46" s="698">
        <v>76496</v>
      </c>
      <c r="J46" s="698" t="s">
        <v>602</v>
      </c>
      <c r="K46" s="698" t="s">
        <v>603</v>
      </c>
      <c r="L46" s="701">
        <v>125.42999999999999</v>
      </c>
      <c r="M46" s="701">
        <v>80</v>
      </c>
      <c r="N46" s="702">
        <v>10034.4</v>
      </c>
    </row>
    <row r="47" spans="1:14" ht="14.4" customHeight="1" x14ac:dyDescent="0.3">
      <c r="A47" s="696" t="s">
        <v>505</v>
      </c>
      <c r="B47" s="697" t="s">
        <v>506</v>
      </c>
      <c r="C47" s="698" t="s">
        <v>519</v>
      </c>
      <c r="D47" s="699" t="s">
        <v>520</v>
      </c>
      <c r="E47" s="700">
        <v>50113001</v>
      </c>
      <c r="F47" s="699" t="s">
        <v>524</v>
      </c>
      <c r="G47" s="698" t="s">
        <v>525</v>
      </c>
      <c r="H47" s="698">
        <v>102679</v>
      </c>
      <c r="I47" s="698">
        <v>2679</v>
      </c>
      <c r="J47" s="698" t="s">
        <v>604</v>
      </c>
      <c r="K47" s="698" t="s">
        <v>605</v>
      </c>
      <c r="L47" s="701">
        <v>164.48000000000002</v>
      </c>
      <c r="M47" s="701">
        <v>1</v>
      </c>
      <c r="N47" s="702">
        <v>164.48000000000002</v>
      </c>
    </row>
    <row r="48" spans="1:14" ht="14.4" customHeight="1" x14ac:dyDescent="0.3">
      <c r="A48" s="696" t="s">
        <v>505</v>
      </c>
      <c r="B48" s="697" t="s">
        <v>506</v>
      </c>
      <c r="C48" s="698" t="s">
        <v>519</v>
      </c>
      <c r="D48" s="699" t="s">
        <v>520</v>
      </c>
      <c r="E48" s="700">
        <v>50113001</v>
      </c>
      <c r="F48" s="699" t="s">
        <v>524</v>
      </c>
      <c r="G48" s="698" t="s">
        <v>525</v>
      </c>
      <c r="H48" s="698">
        <v>162321</v>
      </c>
      <c r="I48" s="698">
        <v>62321</v>
      </c>
      <c r="J48" s="698" t="s">
        <v>606</v>
      </c>
      <c r="K48" s="698" t="s">
        <v>607</v>
      </c>
      <c r="L48" s="701">
        <v>122.74000000000002</v>
      </c>
      <c r="M48" s="701">
        <v>1</v>
      </c>
      <c r="N48" s="702">
        <v>122.74000000000002</v>
      </c>
    </row>
    <row r="49" spans="1:14" ht="14.4" customHeight="1" x14ac:dyDescent="0.3">
      <c r="A49" s="696" t="s">
        <v>505</v>
      </c>
      <c r="B49" s="697" t="s">
        <v>506</v>
      </c>
      <c r="C49" s="698" t="s">
        <v>519</v>
      </c>
      <c r="D49" s="699" t="s">
        <v>520</v>
      </c>
      <c r="E49" s="700">
        <v>50113001</v>
      </c>
      <c r="F49" s="699" t="s">
        <v>524</v>
      </c>
      <c r="G49" s="698" t="s">
        <v>525</v>
      </c>
      <c r="H49" s="698">
        <v>162317</v>
      </c>
      <c r="I49" s="698">
        <v>62317</v>
      </c>
      <c r="J49" s="698" t="s">
        <v>608</v>
      </c>
      <c r="K49" s="698" t="s">
        <v>609</v>
      </c>
      <c r="L49" s="701">
        <v>349.87555555555559</v>
      </c>
      <c r="M49" s="701">
        <v>9</v>
      </c>
      <c r="N49" s="702">
        <v>3148.88</v>
      </c>
    </row>
    <row r="50" spans="1:14" ht="14.4" customHeight="1" x14ac:dyDescent="0.3">
      <c r="A50" s="696" t="s">
        <v>505</v>
      </c>
      <c r="B50" s="697" t="s">
        <v>506</v>
      </c>
      <c r="C50" s="698" t="s">
        <v>519</v>
      </c>
      <c r="D50" s="699" t="s">
        <v>520</v>
      </c>
      <c r="E50" s="700">
        <v>50113001</v>
      </c>
      <c r="F50" s="699" t="s">
        <v>524</v>
      </c>
      <c r="G50" s="698" t="s">
        <v>546</v>
      </c>
      <c r="H50" s="698">
        <v>183974</v>
      </c>
      <c r="I50" s="698">
        <v>83974</v>
      </c>
      <c r="J50" s="698" t="s">
        <v>610</v>
      </c>
      <c r="K50" s="698" t="s">
        <v>611</v>
      </c>
      <c r="L50" s="701">
        <v>88.452241379310337</v>
      </c>
      <c r="M50" s="701">
        <v>58</v>
      </c>
      <c r="N50" s="702">
        <v>5130.2299999999996</v>
      </c>
    </row>
    <row r="51" spans="1:14" ht="14.4" customHeight="1" x14ac:dyDescent="0.3">
      <c r="A51" s="696" t="s">
        <v>505</v>
      </c>
      <c r="B51" s="697" t="s">
        <v>506</v>
      </c>
      <c r="C51" s="698" t="s">
        <v>519</v>
      </c>
      <c r="D51" s="699" t="s">
        <v>520</v>
      </c>
      <c r="E51" s="700">
        <v>50113001</v>
      </c>
      <c r="F51" s="699" t="s">
        <v>524</v>
      </c>
      <c r="G51" s="698" t="s">
        <v>525</v>
      </c>
      <c r="H51" s="698">
        <v>845329</v>
      </c>
      <c r="I51" s="698">
        <v>0</v>
      </c>
      <c r="J51" s="698" t="s">
        <v>612</v>
      </c>
      <c r="K51" s="698" t="s">
        <v>507</v>
      </c>
      <c r="L51" s="701">
        <v>178.41000000000003</v>
      </c>
      <c r="M51" s="701">
        <v>8</v>
      </c>
      <c r="N51" s="702">
        <v>1427.2800000000002</v>
      </c>
    </row>
    <row r="52" spans="1:14" ht="14.4" customHeight="1" x14ac:dyDescent="0.3">
      <c r="A52" s="696" t="s">
        <v>505</v>
      </c>
      <c r="B52" s="697" t="s">
        <v>506</v>
      </c>
      <c r="C52" s="698" t="s">
        <v>519</v>
      </c>
      <c r="D52" s="699" t="s">
        <v>520</v>
      </c>
      <c r="E52" s="700">
        <v>50113001</v>
      </c>
      <c r="F52" s="699" t="s">
        <v>524</v>
      </c>
      <c r="G52" s="698" t="s">
        <v>525</v>
      </c>
      <c r="H52" s="698">
        <v>204603</v>
      </c>
      <c r="I52" s="698">
        <v>204603</v>
      </c>
      <c r="J52" s="698" t="s">
        <v>613</v>
      </c>
      <c r="K52" s="698" t="s">
        <v>614</v>
      </c>
      <c r="L52" s="701">
        <v>913</v>
      </c>
      <c r="M52" s="701">
        <v>3</v>
      </c>
      <c r="N52" s="702">
        <v>2739</v>
      </c>
    </row>
    <row r="53" spans="1:14" ht="14.4" customHeight="1" x14ac:dyDescent="0.3">
      <c r="A53" s="696" t="s">
        <v>505</v>
      </c>
      <c r="B53" s="697" t="s">
        <v>506</v>
      </c>
      <c r="C53" s="698" t="s">
        <v>519</v>
      </c>
      <c r="D53" s="699" t="s">
        <v>520</v>
      </c>
      <c r="E53" s="700">
        <v>50113001</v>
      </c>
      <c r="F53" s="699" t="s">
        <v>524</v>
      </c>
      <c r="G53" s="698" t="s">
        <v>525</v>
      </c>
      <c r="H53" s="698">
        <v>203954</v>
      </c>
      <c r="I53" s="698">
        <v>203954</v>
      </c>
      <c r="J53" s="698" t="s">
        <v>615</v>
      </c>
      <c r="K53" s="698" t="s">
        <v>616</v>
      </c>
      <c r="L53" s="701">
        <v>92.4</v>
      </c>
      <c r="M53" s="701">
        <v>4</v>
      </c>
      <c r="N53" s="702">
        <v>369.6</v>
      </c>
    </row>
    <row r="54" spans="1:14" ht="14.4" customHeight="1" x14ac:dyDescent="0.3">
      <c r="A54" s="696" t="s">
        <v>505</v>
      </c>
      <c r="B54" s="697" t="s">
        <v>506</v>
      </c>
      <c r="C54" s="698" t="s">
        <v>519</v>
      </c>
      <c r="D54" s="699" t="s">
        <v>520</v>
      </c>
      <c r="E54" s="700">
        <v>50113001</v>
      </c>
      <c r="F54" s="699" t="s">
        <v>524</v>
      </c>
      <c r="G54" s="698" t="s">
        <v>546</v>
      </c>
      <c r="H54" s="698">
        <v>158692</v>
      </c>
      <c r="I54" s="698">
        <v>158692</v>
      </c>
      <c r="J54" s="698" t="s">
        <v>617</v>
      </c>
      <c r="K54" s="698" t="s">
        <v>618</v>
      </c>
      <c r="L54" s="701">
        <v>26.149999999999995</v>
      </c>
      <c r="M54" s="701">
        <v>1</v>
      </c>
      <c r="N54" s="702">
        <v>26.149999999999995</v>
      </c>
    </row>
    <row r="55" spans="1:14" ht="14.4" customHeight="1" x14ac:dyDescent="0.3">
      <c r="A55" s="696" t="s">
        <v>505</v>
      </c>
      <c r="B55" s="697" t="s">
        <v>506</v>
      </c>
      <c r="C55" s="698" t="s">
        <v>519</v>
      </c>
      <c r="D55" s="699" t="s">
        <v>520</v>
      </c>
      <c r="E55" s="700">
        <v>50113001</v>
      </c>
      <c r="F55" s="699" t="s">
        <v>524</v>
      </c>
      <c r="G55" s="698" t="s">
        <v>546</v>
      </c>
      <c r="H55" s="698">
        <v>158697</v>
      </c>
      <c r="I55" s="698">
        <v>158697</v>
      </c>
      <c r="J55" s="698" t="s">
        <v>617</v>
      </c>
      <c r="K55" s="698" t="s">
        <v>619</v>
      </c>
      <c r="L55" s="701">
        <v>87.13</v>
      </c>
      <c r="M55" s="701">
        <v>3</v>
      </c>
      <c r="N55" s="702">
        <v>261.39</v>
      </c>
    </row>
    <row r="56" spans="1:14" ht="14.4" customHeight="1" x14ac:dyDescent="0.3">
      <c r="A56" s="696" t="s">
        <v>505</v>
      </c>
      <c r="B56" s="697" t="s">
        <v>506</v>
      </c>
      <c r="C56" s="698" t="s">
        <v>519</v>
      </c>
      <c r="D56" s="699" t="s">
        <v>520</v>
      </c>
      <c r="E56" s="700">
        <v>50113001</v>
      </c>
      <c r="F56" s="699" t="s">
        <v>524</v>
      </c>
      <c r="G56" s="698" t="s">
        <v>525</v>
      </c>
      <c r="H56" s="698">
        <v>989607</v>
      </c>
      <c r="I56" s="698">
        <v>0</v>
      </c>
      <c r="J56" s="698" t="s">
        <v>620</v>
      </c>
      <c r="K56" s="698" t="s">
        <v>507</v>
      </c>
      <c r="L56" s="701">
        <v>37.880000000000003</v>
      </c>
      <c r="M56" s="701">
        <v>1</v>
      </c>
      <c r="N56" s="702">
        <v>37.880000000000003</v>
      </c>
    </row>
    <row r="57" spans="1:14" ht="14.4" customHeight="1" x14ac:dyDescent="0.3">
      <c r="A57" s="696" t="s">
        <v>505</v>
      </c>
      <c r="B57" s="697" t="s">
        <v>506</v>
      </c>
      <c r="C57" s="698" t="s">
        <v>519</v>
      </c>
      <c r="D57" s="699" t="s">
        <v>520</v>
      </c>
      <c r="E57" s="700">
        <v>50113001</v>
      </c>
      <c r="F57" s="699" t="s">
        <v>524</v>
      </c>
      <c r="G57" s="698" t="s">
        <v>525</v>
      </c>
      <c r="H57" s="698">
        <v>108651</v>
      </c>
      <c r="I57" s="698">
        <v>8651</v>
      </c>
      <c r="J57" s="698" t="s">
        <v>621</v>
      </c>
      <c r="K57" s="698" t="s">
        <v>622</v>
      </c>
      <c r="L57" s="701">
        <v>189.53</v>
      </c>
      <c r="M57" s="701">
        <v>1</v>
      </c>
      <c r="N57" s="702">
        <v>189.53</v>
      </c>
    </row>
    <row r="58" spans="1:14" ht="14.4" customHeight="1" x14ac:dyDescent="0.3">
      <c r="A58" s="696" t="s">
        <v>505</v>
      </c>
      <c r="B58" s="697" t="s">
        <v>506</v>
      </c>
      <c r="C58" s="698" t="s">
        <v>519</v>
      </c>
      <c r="D58" s="699" t="s">
        <v>520</v>
      </c>
      <c r="E58" s="700">
        <v>50113001</v>
      </c>
      <c r="F58" s="699" t="s">
        <v>524</v>
      </c>
      <c r="G58" s="698" t="s">
        <v>525</v>
      </c>
      <c r="H58" s="698">
        <v>107812</v>
      </c>
      <c r="I58" s="698">
        <v>185630</v>
      </c>
      <c r="J58" s="698" t="s">
        <v>623</v>
      </c>
      <c r="K58" s="698" t="s">
        <v>624</v>
      </c>
      <c r="L58" s="701">
        <v>110.17000000000002</v>
      </c>
      <c r="M58" s="701">
        <v>3</v>
      </c>
      <c r="N58" s="702">
        <v>330.51000000000005</v>
      </c>
    </row>
    <row r="59" spans="1:14" ht="14.4" customHeight="1" x14ac:dyDescent="0.3">
      <c r="A59" s="696" t="s">
        <v>505</v>
      </c>
      <c r="B59" s="697" t="s">
        <v>506</v>
      </c>
      <c r="C59" s="698" t="s">
        <v>519</v>
      </c>
      <c r="D59" s="699" t="s">
        <v>520</v>
      </c>
      <c r="E59" s="700">
        <v>50113001</v>
      </c>
      <c r="F59" s="699" t="s">
        <v>524</v>
      </c>
      <c r="G59" s="698" t="s">
        <v>525</v>
      </c>
      <c r="H59" s="698">
        <v>185634</v>
      </c>
      <c r="I59" s="698">
        <v>185634</v>
      </c>
      <c r="J59" s="698" t="s">
        <v>625</v>
      </c>
      <c r="K59" s="698" t="s">
        <v>626</v>
      </c>
      <c r="L59" s="701">
        <v>81.260000000000005</v>
      </c>
      <c r="M59" s="701">
        <v>1</v>
      </c>
      <c r="N59" s="702">
        <v>81.260000000000005</v>
      </c>
    </row>
    <row r="60" spans="1:14" ht="14.4" customHeight="1" x14ac:dyDescent="0.3">
      <c r="A60" s="696" t="s">
        <v>505</v>
      </c>
      <c r="B60" s="697" t="s">
        <v>506</v>
      </c>
      <c r="C60" s="698" t="s">
        <v>519</v>
      </c>
      <c r="D60" s="699" t="s">
        <v>520</v>
      </c>
      <c r="E60" s="700">
        <v>50113001</v>
      </c>
      <c r="F60" s="699" t="s">
        <v>524</v>
      </c>
      <c r="G60" s="698" t="s">
        <v>525</v>
      </c>
      <c r="H60" s="698">
        <v>199466</v>
      </c>
      <c r="I60" s="698">
        <v>199466</v>
      </c>
      <c r="J60" s="698" t="s">
        <v>627</v>
      </c>
      <c r="K60" s="698" t="s">
        <v>628</v>
      </c>
      <c r="L60" s="701">
        <v>112.50999999999996</v>
      </c>
      <c r="M60" s="701">
        <v>2</v>
      </c>
      <c r="N60" s="702">
        <v>225.01999999999992</v>
      </c>
    </row>
    <row r="61" spans="1:14" ht="14.4" customHeight="1" x14ac:dyDescent="0.3">
      <c r="A61" s="696" t="s">
        <v>505</v>
      </c>
      <c r="B61" s="697" t="s">
        <v>506</v>
      </c>
      <c r="C61" s="698" t="s">
        <v>519</v>
      </c>
      <c r="D61" s="699" t="s">
        <v>520</v>
      </c>
      <c r="E61" s="700">
        <v>50113001</v>
      </c>
      <c r="F61" s="699" t="s">
        <v>524</v>
      </c>
      <c r="G61" s="698" t="s">
        <v>525</v>
      </c>
      <c r="H61" s="698">
        <v>100407</v>
      </c>
      <c r="I61" s="698">
        <v>407</v>
      </c>
      <c r="J61" s="698" t="s">
        <v>629</v>
      </c>
      <c r="K61" s="698" t="s">
        <v>630</v>
      </c>
      <c r="L61" s="701">
        <v>185.31421428571431</v>
      </c>
      <c r="M61" s="701">
        <v>140</v>
      </c>
      <c r="N61" s="702">
        <v>25943.990000000005</v>
      </c>
    </row>
    <row r="62" spans="1:14" ht="14.4" customHeight="1" x14ac:dyDescent="0.3">
      <c r="A62" s="696" t="s">
        <v>505</v>
      </c>
      <c r="B62" s="697" t="s">
        <v>506</v>
      </c>
      <c r="C62" s="698" t="s">
        <v>519</v>
      </c>
      <c r="D62" s="699" t="s">
        <v>520</v>
      </c>
      <c r="E62" s="700">
        <v>50113001</v>
      </c>
      <c r="F62" s="699" t="s">
        <v>524</v>
      </c>
      <c r="G62" s="698" t="s">
        <v>525</v>
      </c>
      <c r="H62" s="698">
        <v>149317</v>
      </c>
      <c r="I62" s="698">
        <v>49317</v>
      </c>
      <c r="J62" s="698" t="s">
        <v>631</v>
      </c>
      <c r="K62" s="698" t="s">
        <v>632</v>
      </c>
      <c r="L62" s="701">
        <v>299.00100634460534</v>
      </c>
      <c r="M62" s="701">
        <v>18</v>
      </c>
      <c r="N62" s="702">
        <v>5382.018114202896</v>
      </c>
    </row>
    <row r="63" spans="1:14" ht="14.4" customHeight="1" x14ac:dyDescent="0.3">
      <c r="A63" s="696" t="s">
        <v>505</v>
      </c>
      <c r="B63" s="697" t="s">
        <v>506</v>
      </c>
      <c r="C63" s="698" t="s">
        <v>519</v>
      </c>
      <c r="D63" s="699" t="s">
        <v>520</v>
      </c>
      <c r="E63" s="700">
        <v>50113001</v>
      </c>
      <c r="F63" s="699" t="s">
        <v>524</v>
      </c>
      <c r="G63" s="698" t="s">
        <v>525</v>
      </c>
      <c r="H63" s="698">
        <v>100409</v>
      </c>
      <c r="I63" s="698">
        <v>409</v>
      </c>
      <c r="J63" s="698" t="s">
        <v>633</v>
      </c>
      <c r="K63" s="698" t="s">
        <v>634</v>
      </c>
      <c r="L63" s="701">
        <v>79.754466666666659</v>
      </c>
      <c r="M63" s="701">
        <v>150</v>
      </c>
      <c r="N63" s="702">
        <v>11963.169999999998</v>
      </c>
    </row>
    <row r="64" spans="1:14" ht="14.4" customHeight="1" x14ac:dyDescent="0.3">
      <c r="A64" s="696" t="s">
        <v>505</v>
      </c>
      <c r="B64" s="697" t="s">
        <v>506</v>
      </c>
      <c r="C64" s="698" t="s">
        <v>519</v>
      </c>
      <c r="D64" s="699" t="s">
        <v>520</v>
      </c>
      <c r="E64" s="700">
        <v>50113001</v>
      </c>
      <c r="F64" s="699" t="s">
        <v>524</v>
      </c>
      <c r="G64" s="698" t="s">
        <v>525</v>
      </c>
      <c r="H64" s="698">
        <v>137275</v>
      </c>
      <c r="I64" s="698">
        <v>137275</v>
      </c>
      <c r="J64" s="698" t="s">
        <v>635</v>
      </c>
      <c r="K64" s="698" t="s">
        <v>636</v>
      </c>
      <c r="L64" s="701">
        <v>1055.8900000000003</v>
      </c>
      <c r="M64" s="701">
        <v>1</v>
      </c>
      <c r="N64" s="702">
        <v>1055.8900000000003</v>
      </c>
    </row>
    <row r="65" spans="1:14" ht="14.4" customHeight="1" x14ac:dyDescent="0.3">
      <c r="A65" s="696" t="s">
        <v>505</v>
      </c>
      <c r="B65" s="697" t="s">
        <v>506</v>
      </c>
      <c r="C65" s="698" t="s">
        <v>519</v>
      </c>
      <c r="D65" s="699" t="s">
        <v>520</v>
      </c>
      <c r="E65" s="700">
        <v>50113001</v>
      </c>
      <c r="F65" s="699" t="s">
        <v>524</v>
      </c>
      <c r="G65" s="698" t="s">
        <v>525</v>
      </c>
      <c r="H65" s="698">
        <v>187814</v>
      </c>
      <c r="I65" s="698">
        <v>87814</v>
      </c>
      <c r="J65" s="698" t="s">
        <v>637</v>
      </c>
      <c r="K65" s="698" t="s">
        <v>638</v>
      </c>
      <c r="L65" s="701">
        <v>535.66</v>
      </c>
      <c r="M65" s="701">
        <v>1</v>
      </c>
      <c r="N65" s="702">
        <v>535.66</v>
      </c>
    </row>
    <row r="66" spans="1:14" ht="14.4" customHeight="1" x14ac:dyDescent="0.3">
      <c r="A66" s="696" t="s">
        <v>505</v>
      </c>
      <c r="B66" s="697" t="s">
        <v>506</v>
      </c>
      <c r="C66" s="698" t="s">
        <v>519</v>
      </c>
      <c r="D66" s="699" t="s">
        <v>520</v>
      </c>
      <c r="E66" s="700">
        <v>50113001</v>
      </c>
      <c r="F66" s="699" t="s">
        <v>524</v>
      </c>
      <c r="G66" s="698" t="s">
        <v>525</v>
      </c>
      <c r="H66" s="698">
        <v>102132</v>
      </c>
      <c r="I66" s="698">
        <v>2132</v>
      </c>
      <c r="J66" s="698" t="s">
        <v>639</v>
      </c>
      <c r="K66" s="698" t="s">
        <v>640</v>
      </c>
      <c r="L66" s="701">
        <v>136.06750000000002</v>
      </c>
      <c r="M66" s="701">
        <v>4</v>
      </c>
      <c r="N66" s="702">
        <v>544.2700000000001</v>
      </c>
    </row>
    <row r="67" spans="1:14" ht="14.4" customHeight="1" x14ac:dyDescent="0.3">
      <c r="A67" s="696" t="s">
        <v>505</v>
      </c>
      <c r="B67" s="697" t="s">
        <v>506</v>
      </c>
      <c r="C67" s="698" t="s">
        <v>519</v>
      </c>
      <c r="D67" s="699" t="s">
        <v>520</v>
      </c>
      <c r="E67" s="700">
        <v>50113001</v>
      </c>
      <c r="F67" s="699" t="s">
        <v>524</v>
      </c>
      <c r="G67" s="698" t="s">
        <v>525</v>
      </c>
      <c r="H67" s="698">
        <v>843217</v>
      </c>
      <c r="I67" s="698">
        <v>0</v>
      </c>
      <c r="J67" s="698" t="s">
        <v>641</v>
      </c>
      <c r="K67" s="698" t="s">
        <v>642</v>
      </c>
      <c r="L67" s="701">
        <v>190.38857142857148</v>
      </c>
      <c r="M67" s="701">
        <v>42</v>
      </c>
      <c r="N67" s="702">
        <v>7996.3200000000024</v>
      </c>
    </row>
    <row r="68" spans="1:14" ht="14.4" customHeight="1" x14ac:dyDescent="0.3">
      <c r="A68" s="696" t="s">
        <v>505</v>
      </c>
      <c r="B68" s="697" t="s">
        <v>506</v>
      </c>
      <c r="C68" s="698" t="s">
        <v>519</v>
      </c>
      <c r="D68" s="699" t="s">
        <v>520</v>
      </c>
      <c r="E68" s="700">
        <v>50113001</v>
      </c>
      <c r="F68" s="699" t="s">
        <v>524</v>
      </c>
      <c r="G68" s="698" t="s">
        <v>525</v>
      </c>
      <c r="H68" s="698">
        <v>117293</v>
      </c>
      <c r="I68" s="698">
        <v>17293</v>
      </c>
      <c r="J68" s="698" t="s">
        <v>643</v>
      </c>
      <c r="K68" s="698" t="s">
        <v>644</v>
      </c>
      <c r="L68" s="701">
        <v>89.249999999999972</v>
      </c>
      <c r="M68" s="701">
        <v>5</v>
      </c>
      <c r="N68" s="702">
        <v>446.24999999999989</v>
      </c>
    </row>
    <row r="69" spans="1:14" ht="14.4" customHeight="1" x14ac:dyDescent="0.3">
      <c r="A69" s="696" t="s">
        <v>505</v>
      </c>
      <c r="B69" s="697" t="s">
        <v>506</v>
      </c>
      <c r="C69" s="698" t="s">
        <v>519</v>
      </c>
      <c r="D69" s="699" t="s">
        <v>520</v>
      </c>
      <c r="E69" s="700">
        <v>50113001</v>
      </c>
      <c r="F69" s="699" t="s">
        <v>524</v>
      </c>
      <c r="G69" s="698" t="s">
        <v>525</v>
      </c>
      <c r="H69" s="698">
        <v>848412</v>
      </c>
      <c r="I69" s="698">
        <v>30776</v>
      </c>
      <c r="J69" s="698" t="s">
        <v>645</v>
      </c>
      <c r="K69" s="698" t="s">
        <v>507</v>
      </c>
      <c r="L69" s="701">
        <v>104.26</v>
      </c>
      <c r="M69" s="701">
        <v>3</v>
      </c>
      <c r="N69" s="702">
        <v>312.78000000000003</v>
      </c>
    </row>
    <row r="70" spans="1:14" ht="14.4" customHeight="1" x14ac:dyDescent="0.3">
      <c r="A70" s="696" t="s">
        <v>505</v>
      </c>
      <c r="B70" s="697" t="s">
        <v>506</v>
      </c>
      <c r="C70" s="698" t="s">
        <v>519</v>
      </c>
      <c r="D70" s="699" t="s">
        <v>520</v>
      </c>
      <c r="E70" s="700">
        <v>50113001</v>
      </c>
      <c r="F70" s="699" t="s">
        <v>524</v>
      </c>
      <c r="G70" s="698" t="s">
        <v>525</v>
      </c>
      <c r="H70" s="698">
        <v>150660</v>
      </c>
      <c r="I70" s="698">
        <v>150660</v>
      </c>
      <c r="J70" s="698" t="s">
        <v>646</v>
      </c>
      <c r="K70" s="698" t="s">
        <v>647</v>
      </c>
      <c r="L70" s="701">
        <v>798.38848484848484</v>
      </c>
      <c r="M70" s="701">
        <v>33</v>
      </c>
      <c r="N70" s="702">
        <v>26346.82</v>
      </c>
    </row>
    <row r="71" spans="1:14" ht="14.4" customHeight="1" x14ac:dyDescent="0.3">
      <c r="A71" s="696" t="s">
        <v>505</v>
      </c>
      <c r="B71" s="697" t="s">
        <v>506</v>
      </c>
      <c r="C71" s="698" t="s">
        <v>519</v>
      </c>
      <c r="D71" s="699" t="s">
        <v>520</v>
      </c>
      <c r="E71" s="700">
        <v>50113001</v>
      </c>
      <c r="F71" s="699" t="s">
        <v>524</v>
      </c>
      <c r="G71" s="698" t="s">
        <v>525</v>
      </c>
      <c r="H71" s="698">
        <v>145981</v>
      </c>
      <c r="I71" s="698">
        <v>45981</v>
      </c>
      <c r="J71" s="698" t="s">
        <v>648</v>
      </c>
      <c r="K71" s="698" t="s">
        <v>649</v>
      </c>
      <c r="L71" s="701">
        <v>1704.5600000000006</v>
      </c>
      <c r="M71" s="701">
        <v>25</v>
      </c>
      <c r="N71" s="702">
        <v>42614.000000000015</v>
      </c>
    </row>
    <row r="72" spans="1:14" ht="14.4" customHeight="1" x14ac:dyDescent="0.3">
      <c r="A72" s="696" t="s">
        <v>505</v>
      </c>
      <c r="B72" s="697" t="s">
        <v>506</v>
      </c>
      <c r="C72" s="698" t="s">
        <v>519</v>
      </c>
      <c r="D72" s="699" t="s">
        <v>520</v>
      </c>
      <c r="E72" s="700">
        <v>50113001</v>
      </c>
      <c r="F72" s="699" t="s">
        <v>524</v>
      </c>
      <c r="G72" s="698" t="s">
        <v>525</v>
      </c>
      <c r="H72" s="698">
        <v>846446</v>
      </c>
      <c r="I72" s="698">
        <v>124343</v>
      </c>
      <c r="J72" s="698" t="s">
        <v>650</v>
      </c>
      <c r="K72" s="698" t="s">
        <v>618</v>
      </c>
      <c r="L72" s="701">
        <v>43.759999999999991</v>
      </c>
      <c r="M72" s="701">
        <v>2</v>
      </c>
      <c r="N72" s="702">
        <v>87.519999999999982</v>
      </c>
    </row>
    <row r="73" spans="1:14" ht="14.4" customHeight="1" x14ac:dyDescent="0.3">
      <c r="A73" s="696" t="s">
        <v>505</v>
      </c>
      <c r="B73" s="697" t="s">
        <v>506</v>
      </c>
      <c r="C73" s="698" t="s">
        <v>519</v>
      </c>
      <c r="D73" s="699" t="s">
        <v>520</v>
      </c>
      <c r="E73" s="700">
        <v>50113001</v>
      </c>
      <c r="F73" s="699" t="s">
        <v>524</v>
      </c>
      <c r="G73" s="698" t="s">
        <v>525</v>
      </c>
      <c r="H73" s="698">
        <v>848477</v>
      </c>
      <c r="I73" s="698">
        <v>124346</v>
      </c>
      <c r="J73" s="698" t="s">
        <v>650</v>
      </c>
      <c r="K73" s="698" t="s">
        <v>651</v>
      </c>
      <c r="L73" s="701">
        <v>131.26999999999998</v>
      </c>
      <c r="M73" s="701">
        <v>2</v>
      </c>
      <c r="N73" s="702">
        <v>262.53999999999996</v>
      </c>
    </row>
    <row r="74" spans="1:14" ht="14.4" customHeight="1" x14ac:dyDescent="0.3">
      <c r="A74" s="696" t="s">
        <v>505</v>
      </c>
      <c r="B74" s="697" t="s">
        <v>506</v>
      </c>
      <c r="C74" s="698" t="s">
        <v>519</v>
      </c>
      <c r="D74" s="699" t="s">
        <v>520</v>
      </c>
      <c r="E74" s="700">
        <v>50113001</v>
      </c>
      <c r="F74" s="699" t="s">
        <v>524</v>
      </c>
      <c r="G74" s="698" t="s">
        <v>525</v>
      </c>
      <c r="H74" s="698">
        <v>230409</v>
      </c>
      <c r="I74" s="698">
        <v>230409</v>
      </c>
      <c r="J74" s="698" t="s">
        <v>652</v>
      </c>
      <c r="K74" s="698" t="s">
        <v>653</v>
      </c>
      <c r="L74" s="701">
        <v>19.93</v>
      </c>
      <c r="M74" s="701">
        <v>2</v>
      </c>
      <c r="N74" s="702">
        <v>39.86</v>
      </c>
    </row>
    <row r="75" spans="1:14" ht="14.4" customHeight="1" x14ac:dyDescent="0.3">
      <c r="A75" s="696" t="s">
        <v>505</v>
      </c>
      <c r="B75" s="697" t="s">
        <v>506</v>
      </c>
      <c r="C75" s="698" t="s">
        <v>519</v>
      </c>
      <c r="D75" s="699" t="s">
        <v>520</v>
      </c>
      <c r="E75" s="700">
        <v>50113001</v>
      </c>
      <c r="F75" s="699" t="s">
        <v>524</v>
      </c>
      <c r="G75" s="698" t="s">
        <v>546</v>
      </c>
      <c r="H75" s="698">
        <v>117431</v>
      </c>
      <c r="I75" s="698">
        <v>17431</v>
      </c>
      <c r="J75" s="698" t="s">
        <v>654</v>
      </c>
      <c r="K75" s="698" t="s">
        <v>655</v>
      </c>
      <c r="L75" s="701">
        <v>27.167272727272728</v>
      </c>
      <c r="M75" s="701">
        <v>33</v>
      </c>
      <c r="N75" s="702">
        <v>896.52</v>
      </c>
    </row>
    <row r="76" spans="1:14" ht="14.4" customHeight="1" x14ac:dyDescent="0.3">
      <c r="A76" s="696" t="s">
        <v>505</v>
      </c>
      <c r="B76" s="697" t="s">
        <v>506</v>
      </c>
      <c r="C76" s="698" t="s">
        <v>519</v>
      </c>
      <c r="D76" s="699" t="s">
        <v>520</v>
      </c>
      <c r="E76" s="700">
        <v>50113001</v>
      </c>
      <c r="F76" s="699" t="s">
        <v>524</v>
      </c>
      <c r="G76" s="698" t="s">
        <v>525</v>
      </c>
      <c r="H76" s="698">
        <v>230415</v>
      </c>
      <c r="I76" s="698">
        <v>230415</v>
      </c>
      <c r="J76" s="698" t="s">
        <v>654</v>
      </c>
      <c r="K76" s="698" t="s">
        <v>655</v>
      </c>
      <c r="L76" s="701">
        <v>98.37</v>
      </c>
      <c r="M76" s="701">
        <v>4</v>
      </c>
      <c r="N76" s="702">
        <v>393.48</v>
      </c>
    </row>
    <row r="77" spans="1:14" ht="14.4" customHeight="1" x14ac:dyDescent="0.3">
      <c r="A77" s="696" t="s">
        <v>505</v>
      </c>
      <c r="B77" s="697" t="s">
        <v>506</v>
      </c>
      <c r="C77" s="698" t="s">
        <v>519</v>
      </c>
      <c r="D77" s="699" t="s">
        <v>520</v>
      </c>
      <c r="E77" s="700">
        <v>50113001</v>
      </c>
      <c r="F77" s="699" t="s">
        <v>524</v>
      </c>
      <c r="G77" s="698" t="s">
        <v>525</v>
      </c>
      <c r="H77" s="698">
        <v>847085</v>
      </c>
      <c r="I77" s="698">
        <v>115401</v>
      </c>
      <c r="J77" s="698" t="s">
        <v>656</v>
      </c>
      <c r="K77" s="698" t="s">
        <v>657</v>
      </c>
      <c r="L77" s="701">
        <v>606.69439733921342</v>
      </c>
      <c r="M77" s="701">
        <v>3</v>
      </c>
      <c r="N77" s="702">
        <v>1820.0831920176402</v>
      </c>
    </row>
    <row r="78" spans="1:14" ht="14.4" customHeight="1" x14ac:dyDescent="0.3">
      <c r="A78" s="696" t="s">
        <v>505</v>
      </c>
      <c r="B78" s="697" t="s">
        <v>506</v>
      </c>
      <c r="C78" s="698" t="s">
        <v>519</v>
      </c>
      <c r="D78" s="699" t="s">
        <v>520</v>
      </c>
      <c r="E78" s="700">
        <v>50113001</v>
      </c>
      <c r="F78" s="699" t="s">
        <v>524</v>
      </c>
      <c r="G78" s="698" t="s">
        <v>525</v>
      </c>
      <c r="H78" s="698">
        <v>156992</v>
      </c>
      <c r="I78" s="698">
        <v>56992</v>
      </c>
      <c r="J78" s="698" t="s">
        <v>658</v>
      </c>
      <c r="K78" s="698" t="s">
        <v>659</v>
      </c>
      <c r="L78" s="701">
        <v>61.44</v>
      </c>
      <c r="M78" s="701">
        <v>1</v>
      </c>
      <c r="N78" s="702">
        <v>61.44</v>
      </c>
    </row>
    <row r="79" spans="1:14" ht="14.4" customHeight="1" x14ac:dyDescent="0.3">
      <c r="A79" s="696" t="s">
        <v>505</v>
      </c>
      <c r="B79" s="697" t="s">
        <v>506</v>
      </c>
      <c r="C79" s="698" t="s">
        <v>519</v>
      </c>
      <c r="D79" s="699" t="s">
        <v>520</v>
      </c>
      <c r="E79" s="700">
        <v>50113001</v>
      </c>
      <c r="F79" s="699" t="s">
        <v>524</v>
      </c>
      <c r="G79" s="698" t="s">
        <v>525</v>
      </c>
      <c r="H79" s="698">
        <v>156993</v>
      </c>
      <c r="I79" s="698">
        <v>56993</v>
      </c>
      <c r="J79" s="698" t="s">
        <v>660</v>
      </c>
      <c r="K79" s="698" t="s">
        <v>661</v>
      </c>
      <c r="L79" s="701">
        <v>73.150000000000006</v>
      </c>
      <c r="M79" s="701">
        <v>2</v>
      </c>
      <c r="N79" s="702">
        <v>146.30000000000001</v>
      </c>
    </row>
    <row r="80" spans="1:14" ht="14.4" customHeight="1" x14ac:dyDescent="0.3">
      <c r="A80" s="696" t="s">
        <v>505</v>
      </c>
      <c r="B80" s="697" t="s">
        <v>506</v>
      </c>
      <c r="C80" s="698" t="s">
        <v>519</v>
      </c>
      <c r="D80" s="699" t="s">
        <v>520</v>
      </c>
      <c r="E80" s="700">
        <v>50113001</v>
      </c>
      <c r="F80" s="699" t="s">
        <v>524</v>
      </c>
      <c r="G80" s="698" t="s">
        <v>525</v>
      </c>
      <c r="H80" s="698">
        <v>849382</v>
      </c>
      <c r="I80" s="698">
        <v>119697</v>
      </c>
      <c r="J80" s="698" t="s">
        <v>662</v>
      </c>
      <c r="K80" s="698" t="s">
        <v>663</v>
      </c>
      <c r="L80" s="701">
        <v>172.20999999999998</v>
      </c>
      <c r="M80" s="701">
        <v>2</v>
      </c>
      <c r="N80" s="702">
        <v>344.41999999999996</v>
      </c>
    </row>
    <row r="81" spans="1:14" ht="14.4" customHeight="1" x14ac:dyDescent="0.3">
      <c r="A81" s="696" t="s">
        <v>505</v>
      </c>
      <c r="B81" s="697" t="s">
        <v>506</v>
      </c>
      <c r="C81" s="698" t="s">
        <v>519</v>
      </c>
      <c r="D81" s="699" t="s">
        <v>520</v>
      </c>
      <c r="E81" s="700">
        <v>50113001</v>
      </c>
      <c r="F81" s="699" t="s">
        <v>524</v>
      </c>
      <c r="G81" s="698" t="s">
        <v>507</v>
      </c>
      <c r="H81" s="698">
        <v>194164</v>
      </c>
      <c r="I81" s="698">
        <v>94164</v>
      </c>
      <c r="J81" s="698" t="s">
        <v>664</v>
      </c>
      <c r="K81" s="698" t="s">
        <v>665</v>
      </c>
      <c r="L81" s="701">
        <v>102.30000000000003</v>
      </c>
      <c r="M81" s="701">
        <v>1</v>
      </c>
      <c r="N81" s="702">
        <v>102.30000000000003</v>
      </c>
    </row>
    <row r="82" spans="1:14" ht="14.4" customHeight="1" x14ac:dyDescent="0.3">
      <c r="A82" s="696" t="s">
        <v>505</v>
      </c>
      <c r="B82" s="697" t="s">
        <v>506</v>
      </c>
      <c r="C82" s="698" t="s">
        <v>519</v>
      </c>
      <c r="D82" s="699" t="s">
        <v>520</v>
      </c>
      <c r="E82" s="700">
        <v>50113001</v>
      </c>
      <c r="F82" s="699" t="s">
        <v>524</v>
      </c>
      <c r="G82" s="698" t="s">
        <v>546</v>
      </c>
      <c r="H82" s="698">
        <v>214435</v>
      </c>
      <c r="I82" s="698">
        <v>214435</v>
      </c>
      <c r="J82" s="698" t="s">
        <v>666</v>
      </c>
      <c r="K82" s="698" t="s">
        <v>667</v>
      </c>
      <c r="L82" s="701">
        <v>43.006666666666682</v>
      </c>
      <c r="M82" s="701">
        <v>3</v>
      </c>
      <c r="N82" s="702">
        <v>129.02000000000004</v>
      </c>
    </row>
    <row r="83" spans="1:14" ht="14.4" customHeight="1" x14ac:dyDescent="0.3">
      <c r="A83" s="696" t="s">
        <v>505</v>
      </c>
      <c r="B83" s="697" t="s">
        <v>506</v>
      </c>
      <c r="C83" s="698" t="s">
        <v>519</v>
      </c>
      <c r="D83" s="699" t="s">
        <v>520</v>
      </c>
      <c r="E83" s="700">
        <v>50113001</v>
      </c>
      <c r="F83" s="699" t="s">
        <v>524</v>
      </c>
      <c r="G83" s="698" t="s">
        <v>546</v>
      </c>
      <c r="H83" s="698">
        <v>214427</v>
      </c>
      <c r="I83" s="698">
        <v>214427</v>
      </c>
      <c r="J83" s="698" t="s">
        <v>668</v>
      </c>
      <c r="K83" s="698" t="s">
        <v>669</v>
      </c>
      <c r="L83" s="701">
        <v>16.585599999999996</v>
      </c>
      <c r="M83" s="701">
        <v>2900</v>
      </c>
      <c r="N83" s="702">
        <v>48098.239999999983</v>
      </c>
    </row>
    <row r="84" spans="1:14" ht="14.4" customHeight="1" x14ac:dyDescent="0.3">
      <c r="A84" s="696" t="s">
        <v>505</v>
      </c>
      <c r="B84" s="697" t="s">
        <v>506</v>
      </c>
      <c r="C84" s="698" t="s">
        <v>519</v>
      </c>
      <c r="D84" s="699" t="s">
        <v>520</v>
      </c>
      <c r="E84" s="700">
        <v>50113001</v>
      </c>
      <c r="F84" s="699" t="s">
        <v>524</v>
      </c>
      <c r="G84" s="698" t="s">
        <v>546</v>
      </c>
      <c r="H84" s="698">
        <v>848765</v>
      </c>
      <c r="I84" s="698">
        <v>107938</v>
      </c>
      <c r="J84" s="698" t="s">
        <v>670</v>
      </c>
      <c r="K84" s="698" t="s">
        <v>671</v>
      </c>
      <c r="L84" s="701">
        <v>128.47952631578949</v>
      </c>
      <c r="M84" s="701">
        <v>190</v>
      </c>
      <c r="N84" s="702">
        <v>24411.110000000004</v>
      </c>
    </row>
    <row r="85" spans="1:14" ht="14.4" customHeight="1" x14ac:dyDescent="0.3">
      <c r="A85" s="696" t="s">
        <v>505</v>
      </c>
      <c r="B85" s="697" t="s">
        <v>506</v>
      </c>
      <c r="C85" s="698" t="s">
        <v>519</v>
      </c>
      <c r="D85" s="699" t="s">
        <v>520</v>
      </c>
      <c r="E85" s="700">
        <v>50113001</v>
      </c>
      <c r="F85" s="699" t="s">
        <v>524</v>
      </c>
      <c r="G85" s="698" t="s">
        <v>546</v>
      </c>
      <c r="H85" s="698">
        <v>113768</v>
      </c>
      <c r="I85" s="698">
        <v>13768</v>
      </c>
      <c r="J85" s="698" t="s">
        <v>670</v>
      </c>
      <c r="K85" s="698" t="s">
        <v>672</v>
      </c>
      <c r="L85" s="701">
        <v>89.31</v>
      </c>
      <c r="M85" s="701">
        <v>3</v>
      </c>
      <c r="N85" s="702">
        <v>267.93</v>
      </c>
    </row>
    <row r="86" spans="1:14" ht="14.4" customHeight="1" x14ac:dyDescent="0.3">
      <c r="A86" s="696" t="s">
        <v>505</v>
      </c>
      <c r="B86" s="697" t="s">
        <v>506</v>
      </c>
      <c r="C86" s="698" t="s">
        <v>519</v>
      </c>
      <c r="D86" s="699" t="s">
        <v>520</v>
      </c>
      <c r="E86" s="700">
        <v>50113001</v>
      </c>
      <c r="F86" s="699" t="s">
        <v>524</v>
      </c>
      <c r="G86" s="698" t="s">
        <v>546</v>
      </c>
      <c r="H86" s="698">
        <v>113767</v>
      </c>
      <c r="I86" s="698">
        <v>13767</v>
      </c>
      <c r="J86" s="698" t="s">
        <v>670</v>
      </c>
      <c r="K86" s="698" t="s">
        <v>673</v>
      </c>
      <c r="L86" s="701">
        <v>44.66</v>
      </c>
      <c r="M86" s="701">
        <v>2</v>
      </c>
      <c r="N86" s="702">
        <v>89.32</v>
      </c>
    </row>
    <row r="87" spans="1:14" ht="14.4" customHeight="1" x14ac:dyDescent="0.3">
      <c r="A87" s="696" t="s">
        <v>505</v>
      </c>
      <c r="B87" s="697" t="s">
        <v>506</v>
      </c>
      <c r="C87" s="698" t="s">
        <v>519</v>
      </c>
      <c r="D87" s="699" t="s">
        <v>520</v>
      </c>
      <c r="E87" s="700">
        <v>50113001</v>
      </c>
      <c r="F87" s="699" t="s">
        <v>524</v>
      </c>
      <c r="G87" s="698" t="s">
        <v>525</v>
      </c>
      <c r="H87" s="698">
        <v>173405</v>
      </c>
      <c r="I87" s="698">
        <v>173405</v>
      </c>
      <c r="J87" s="698" t="s">
        <v>674</v>
      </c>
      <c r="K87" s="698" t="s">
        <v>675</v>
      </c>
      <c r="L87" s="701">
        <v>240.10333333333335</v>
      </c>
      <c r="M87" s="701">
        <v>3</v>
      </c>
      <c r="N87" s="702">
        <v>720.31000000000006</v>
      </c>
    </row>
    <row r="88" spans="1:14" ht="14.4" customHeight="1" x14ac:dyDescent="0.3">
      <c r="A88" s="696" t="s">
        <v>505</v>
      </c>
      <c r="B88" s="697" t="s">
        <v>506</v>
      </c>
      <c r="C88" s="698" t="s">
        <v>519</v>
      </c>
      <c r="D88" s="699" t="s">
        <v>520</v>
      </c>
      <c r="E88" s="700">
        <v>50113001</v>
      </c>
      <c r="F88" s="699" t="s">
        <v>524</v>
      </c>
      <c r="G88" s="698" t="s">
        <v>525</v>
      </c>
      <c r="H88" s="698">
        <v>845813</v>
      </c>
      <c r="I88" s="698">
        <v>0</v>
      </c>
      <c r="J88" s="698" t="s">
        <v>676</v>
      </c>
      <c r="K88" s="698" t="s">
        <v>507</v>
      </c>
      <c r="L88" s="701">
        <v>552.21428571428578</v>
      </c>
      <c r="M88" s="701">
        <v>7</v>
      </c>
      <c r="N88" s="702">
        <v>3865.5000000000005</v>
      </c>
    </row>
    <row r="89" spans="1:14" ht="14.4" customHeight="1" x14ac:dyDescent="0.3">
      <c r="A89" s="696" t="s">
        <v>505</v>
      </c>
      <c r="B89" s="697" t="s">
        <v>506</v>
      </c>
      <c r="C89" s="698" t="s">
        <v>519</v>
      </c>
      <c r="D89" s="699" t="s">
        <v>520</v>
      </c>
      <c r="E89" s="700">
        <v>50113001</v>
      </c>
      <c r="F89" s="699" t="s">
        <v>524</v>
      </c>
      <c r="G89" s="698" t="s">
        <v>525</v>
      </c>
      <c r="H89" s="698">
        <v>193105</v>
      </c>
      <c r="I89" s="698">
        <v>93105</v>
      </c>
      <c r="J89" s="698" t="s">
        <v>677</v>
      </c>
      <c r="K89" s="698" t="s">
        <v>678</v>
      </c>
      <c r="L89" s="701">
        <v>207.56703715635558</v>
      </c>
      <c r="M89" s="701">
        <v>189</v>
      </c>
      <c r="N89" s="702">
        <v>39230.170022551203</v>
      </c>
    </row>
    <row r="90" spans="1:14" ht="14.4" customHeight="1" x14ac:dyDescent="0.3">
      <c r="A90" s="696" t="s">
        <v>505</v>
      </c>
      <c r="B90" s="697" t="s">
        <v>506</v>
      </c>
      <c r="C90" s="698" t="s">
        <v>519</v>
      </c>
      <c r="D90" s="699" t="s">
        <v>520</v>
      </c>
      <c r="E90" s="700">
        <v>50113001</v>
      </c>
      <c r="F90" s="699" t="s">
        <v>524</v>
      </c>
      <c r="G90" s="698" t="s">
        <v>525</v>
      </c>
      <c r="H90" s="698">
        <v>193104</v>
      </c>
      <c r="I90" s="698">
        <v>93104</v>
      </c>
      <c r="J90" s="698" t="s">
        <v>677</v>
      </c>
      <c r="K90" s="698" t="s">
        <v>679</v>
      </c>
      <c r="L90" s="701">
        <v>47.166667519397002</v>
      </c>
      <c r="M90" s="701">
        <v>3</v>
      </c>
      <c r="N90" s="702">
        <v>141.500002558191</v>
      </c>
    </row>
    <row r="91" spans="1:14" ht="14.4" customHeight="1" x14ac:dyDescent="0.3">
      <c r="A91" s="696" t="s">
        <v>505</v>
      </c>
      <c r="B91" s="697" t="s">
        <v>506</v>
      </c>
      <c r="C91" s="698" t="s">
        <v>519</v>
      </c>
      <c r="D91" s="699" t="s">
        <v>520</v>
      </c>
      <c r="E91" s="700">
        <v>50113001</v>
      </c>
      <c r="F91" s="699" t="s">
        <v>524</v>
      </c>
      <c r="G91" s="698" t="s">
        <v>546</v>
      </c>
      <c r="H91" s="698">
        <v>847134</v>
      </c>
      <c r="I91" s="698">
        <v>151050</v>
      </c>
      <c r="J91" s="698" t="s">
        <v>680</v>
      </c>
      <c r="K91" s="698" t="s">
        <v>681</v>
      </c>
      <c r="L91" s="701">
        <v>502.73733333333331</v>
      </c>
      <c r="M91" s="701">
        <v>30</v>
      </c>
      <c r="N91" s="702">
        <v>15082.119999999999</v>
      </c>
    </row>
    <row r="92" spans="1:14" ht="14.4" customHeight="1" x14ac:dyDescent="0.3">
      <c r="A92" s="696" t="s">
        <v>505</v>
      </c>
      <c r="B92" s="697" t="s">
        <v>506</v>
      </c>
      <c r="C92" s="698" t="s">
        <v>519</v>
      </c>
      <c r="D92" s="699" t="s">
        <v>520</v>
      </c>
      <c r="E92" s="700">
        <v>50113001</v>
      </c>
      <c r="F92" s="699" t="s">
        <v>524</v>
      </c>
      <c r="G92" s="698" t="s">
        <v>525</v>
      </c>
      <c r="H92" s="698">
        <v>197522</v>
      </c>
      <c r="I92" s="698">
        <v>97522</v>
      </c>
      <c r="J92" s="698" t="s">
        <v>682</v>
      </c>
      <c r="K92" s="698" t="s">
        <v>683</v>
      </c>
      <c r="L92" s="701">
        <v>159.19999999999999</v>
      </c>
      <c r="M92" s="701">
        <v>5</v>
      </c>
      <c r="N92" s="702">
        <v>796</v>
      </c>
    </row>
    <row r="93" spans="1:14" ht="14.4" customHeight="1" x14ac:dyDescent="0.3">
      <c r="A93" s="696" t="s">
        <v>505</v>
      </c>
      <c r="B93" s="697" t="s">
        <v>506</v>
      </c>
      <c r="C93" s="698" t="s">
        <v>519</v>
      </c>
      <c r="D93" s="699" t="s">
        <v>520</v>
      </c>
      <c r="E93" s="700">
        <v>50113001</v>
      </c>
      <c r="F93" s="699" t="s">
        <v>524</v>
      </c>
      <c r="G93" s="698" t="s">
        <v>525</v>
      </c>
      <c r="H93" s="698">
        <v>114075</v>
      </c>
      <c r="I93" s="698">
        <v>14075</v>
      </c>
      <c r="J93" s="698" t="s">
        <v>682</v>
      </c>
      <c r="K93" s="698" t="s">
        <v>684</v>
      </c>
      <c r="L93" s="701">
        <v>294.95666666666665</v>
      </c>
      <c r="M93" s="701">
        <v>6</v>
      </c>
      <c r="N93" s="702">
        <v>1769.74</v>
      </c>
    </row>
    <row r="94" spans="1:14" ht="14.4" customHeight="1" x14ac:dyDescent="0.3">
      <c r="A94" s="696" t="s">
        <v>505</v>
      </c>
      <c r="B94" s="697" t="s">
        <v>506</v>
      </c>
      <c r="C94" s="698" t="s">
        <v>519</v>
      </c>
      <c r="D94" s="699" t="s">
        <v>520</v>
      </c>
      <c r="E94" s="700">
        <v>50113001</v>
      </c>
      <c r="F94" s="699" t="s">
        <v>524</v>
      </c>
      <c r="G94" s="698" t="s">
        <v>525</v>
      </c>
      <c r="H94" s="698">
        <v>184090</v>
      </c>
      <c r="I94" s="698">
        <v>84090</v>
      </c>
      <c r="J94" s="698" t="s">
        <v>685</v>
      </c>
      <c r="K94" s="698" t="s">
        <v>686</v>
      </c>
      <c r="L94" s="701">
        <v>60.209670329670338</v>
      </c>
      <c r="M94" s="701">
        <v>91</v>
      </c>
      <c r="N94" s="702">
        <v>5479.0800000000008</v>
      </c>
    </row>
    <row r="95" spans="1:14" ht="14.4" customHeight="1" x14ac:dyDescent="0.3">
      <c r="A95" s="696" t="s">
        <v>505</v>
      </c>
      <c r="B95" s="697" t="s">
        <v>506</v>
      </c>
      <c r="C95" s="698" t="s">
        <v>519</v>
      </c>
      <c r="D95" s="699" t="s">
        <v>520</v>
      </c>
      <c r="E95" s="700">
        <v>50113001</v>
      </c>
      <c r="F95" s="699" t="s">
        <v>524</v>
      </c>
      <c r="G95" s="698" t="s">
        <v>525</v>
      </c>
      <c r="H95" s="698">
        <v>168650</v>
      </c>
      <c r="I95" s="698">
        <v>168650</v>
      </c>
      <c r="J95" s="698" t="s">
        <v>687</v>
      </c>
      <c r="K95" s="698" t="s">
        <v>688</v>
      </c>
      <c r="L95" s="701">
        <v>2699.1149999999998</v>
      </c>
      <c r="M95" s="701">
        <v>2</v>
      </c>
      <c r="N95" s="702">
        <v>5398.23</v>
      </c>
    </row>
    <row r="96" spans="1:14" ht="14.4" customHeight="1" x14ac:dyDescent="0.3">
      <c r="A96" s="696" t="s">
        <v>505</v>
      </c>
      <c r="B96" s="697" t="s">
        <v>506</v>
      </c>
      <c r="C96" s="698" t="s">
        <v>519</v>
      </c>
      <c r="D96" s="699" t="s">
        <v>520</v>
      </c>
      <c r="E96" s="700">
        <v>50113001</v>
      </c>
      <c r="F96" s="699" t="s">
        <v>524</v>
      </c>
      <c r="G96" s="698" t="s">
        <v>525</v>
      </c>
      <c r="H96" s="698">
        <v>208695</v>
      </c>
      <c r="I96" s="698">
        <v>208695</v>
      </c>
      <c r="J96" s="698" t="s">
        <v>689</v>
      </c>
      <c r="K96" s="698" t="s">
        <v>690</v>
      </c>
      <c r="L96" s="701">
        <v>77.760000000000005</v>
      </c>
      <c r="M96" s="701">
        <v>1</v>
      </c>
      <c r="N96" s="702">
        <v>77.760000000000005</v>
      </c>
    </row>
    <row r="97" spans="1:14" ht="14.4" customHeight="1" x14ac:dyDescent="0.3">
      <c r="A97" s="696" t="s">
        <v>505</v>
      </c>
      <c r="B97" s="697" t="s">
        <v>506</v>
      </c>
      <c r="C97" s="698" t="s">
        <v>519</v>
      </c>
      <c r="D97" s="699" t="s">
        <v>520</v>
      </c>
      <c r="E97" s="700">
        <v>50113001</v>
      </c>
      <c r="F97" s="699" t="s">
        <v>524</v>
      </c>
      <c r="G97" s="698" t="s">
        <v>525</v>
      </c>
      <c r="H97" s="698">
        <v>846346</v>
      </c>
      <c r="I97" s="698">
        <v>119672</v>
      </c>
      <c r="J97" s="698" t="s">
        <v>691</v>
      </c>
      <c r="K97" s="698" t="s">
        <v>692</v>
      </c>
      <c r="L97" s="701">
        <v>112.21</v>
      </c>
      <c r="M97" s="701">
        <v>1</v>
      </c>
      <c r="N97" s="702">
        <v>112.21</v>
      </c>
    </row>
    <row r="98" spans="1:14" ht="14.4" customHeight="1" x14ac:dyDescent="0.3">
      <c r="A98" s="696" t="s">
        <v>505</v>
      </c>
      <c r="B98" s="697" t="s">
        <v>506</v>
      </c>
      <c r="C98" s="698" t="s">
        <v>519</v>
      </c>
      <c r="D98" s="699" t="s">
        <v>520</v>
      </c>
      <c r="E98" s="700">
        <v>50113001</v>
      </c>
      <c r="F98" s="699" t="s">
        <v>524</v>
      </c>
      <c r="G98" s="698" t="s">
        <v>525</v>
      </c>
      <c r="H98" s="698">
        <v>117011</v>
      </c>
      <c r="I98" s="698">
        <v>17011</v>
      </c>
      <c r="J98" s="698" t="s">
        <v>693</v>
      </c>
      <c r="K98" s="698" t="s">
        <v>694</v>
      </c>
      <c r="L98" s="701">
        <v>145.42535564853554</v>
      </c>
      <c r="M98" s="701">
        <v>717</v>
      </c>
      <c r="N98" s="702">
        <v>104269.97999999998</v>
      </c>
    </row>
    <row r="99" spans="1:14" ht="14.4" customHeight="1" x14ac:dyDescent="0.3">
      <c r="A99" s="696" t="s">
        <v>505</v>
      </c>
      <c r="B99" s="697" t="s">
        <v>506</v>
      </c>
      <c r="C99" s="698" t="s">
        <v>519</v>
      </c>
      <c r="D99" s="699" t="s">
        <v>520</v>
      </c>
      <c r="E99" s="700">
        <v>50113001</v>
      </c>
      <c r="F99" s="699" t="s">
        <v>524</v>
      </c>
      <c r="G99" s="698" t="s">
        <v>525</v>
      </c>
      <c r="H99" s="698">
        <v>183318</v>
      </c>
      <c r="I99" s="698">
        <v>83318</v>
      </c>
      <c r="J99" s="698" t="s">
        <v>695</v>
      </c>
      <c r="K99" s="698" t="s">
        <v>696</v>
      </c>
      <c r="L99" s="701">
        <v>31.81</v>
      </c>
      <c r="M99" s="701">
        <v>1</v>
      </c>
      <c r="N99" s="702">
        <v>31.81</v>
      </c>
    </row>
    <row r="100" spans="1:14" ht="14.4" customHeight="1" x14ac:dyDescent="0.3">
      <c r="A100" s="696" t="s">
        <v>505</v>
      </c>
      <c r="B100" s="697" t="s">
        <v>506</v>
      </c>
      <c r="C100" s="698" t="s">
        <v>519</v>
      </c>
      <c r="D100" s="699" t="s">
        <v>520</v>
      </c>
      <c r="E100" s="700">
        <v>50113001</v>
      </c>
      <c r="F100" s="699" t="s">
        <v>524</v>
      </c>
      <c r="G100" s="698" t="s">
        <v>525</v>
      </c>
      <c r="H100" s="698">
        <v>103542</v>
      </c>
      <c r="I100" s="698">
        <v>3542</v>
      </c>
      <c r="J100" s="698" t="s">
        <v>697</v>
      </c>
      <c r="K100" s="698" t="s">
        <v>698</v>
      </c>
      <c r="L100" s="701">
        <v>35.33</v>
      </c>
      <c r="M100" s="701">
        <v>1</v>
      </c>
      <c r="N100" s="702">
        <v>35.33</v>
      </c>
    </row>
    <row r="101" spans="1:14" ht="14.4" customHeight="1" x14ac:dyDescent="0.3">
      <c r="A101" s="696" t="s">
        <v>505</v>
      </c>
      <c r="B101" s="697" t="s">
        <v>506</v>
      </c>
      <c r="C101" s="698" t="s">
        <v>519</v>
      </c>
      <c r="D101" s="699" t="s">
        <v>520</v>
      </c>
      <c r="E101" s="700">
        <v>50113001</v>
      </c>
      <c r="F101" s="699" t="s">
        <v>524</v>
      </c>
      <c r="G101" s="698" t="s">
        <v>525</v>
      </c>
      <c r="H101" s="698">
        <v>844831</v>
      </c>
      <c r="I101" s="698">
        <v>0</v>
      </c>
      <c r="J101" s="698" t="s">
        <v>699</v>
      </c>
      <c r="K101" s="698" t="s">
        <v>700</v>
      </c>
      <c r="L101" s="701">
        <v>1377.51</v>
      </c>
      <c r="M101" s="701">
        <v>5</v>
      </c>
      <c r="N101" s="702">
        <v>6887.55</v>
      </c>
    </row>
    <row r="102" spans="1:14" ht="14.4" customHeight="1" x14ac:dyDescent="0.3">
      <c r="A102" s="696" t="s">
        <v>505</v>
      </c>
      <c r="B102" s="697" t="s">
        <v>506</v>
      </c>
      <c r="C102" s="698" t="s">
        <v>519</v>
      </c>
      <c r="D102" s="699" t="s">
        <v>520</v>
      </c>
      <c r="E102" s="700">
        <v>50113001</v>
      </c>
      <c r="F102" s="699" t="s">
        <v>524</v>
      </c>
      <c r="G102" s="698" t="s">
        <v>525</v>
      </c>
      <c r="H102" s="698">
        <v>100113</v>
      </c>
      <c r="I102" s="698">
        <v>113</v>
      </c>
      <c r="J102" s="698" t="s">
        <v>701</v>
      </c>
      <c r="K102" s="698" t="s">
        <v>702</v>
      </c>
      <c r="L102" s="701">
        <v>46.04999999999999</v>
      </c>
      <c r="M102" s="701">
        <v>6</v>
      </c>
      <c r="N102" s="702">
        <v>276.29999999999995</v>
      </c>
    </row>
    <row r="103" spans="1:14" ht="14.4" customHeight="1" x14ac:dyDescent="0.3">
      <c r="A103" s="696" t="s">
        <v>505</v>
      </c>
      <c r="B103" s="697" t="s">
        <v>506</v>
      </c>
      <c r="C103" s="698" t="s">
        <v>519</v>
      </c>
      <c r="D103" s="699" t="s">
        <v>520</v>
      </c>
      <c r="E103" s="700">
        <v>50113001</v>
      </c>
      <c r="F103" s="699" t="s">
        <v>524</v>
      </c>
      <c r="G103" s="698" t="s">
        <v>525</v>
      </c>
      <c r="H103" s="698">
        <v>844591</v>
      </c>
      <c r="I103" s="698">
        <v>107161</v>
      </c>
      <c r="J103" s="698" t="s">
        <v>703</v>
      </c>
      <c r="K103" s="698" t="s">
        <v>704</v>
      </c>
      <c r="L103" s="701">
        <v>935</v>
      </c>
      <c r="M103" s="701">
        <v>231</v>
      </c>
      <c r="N103" s="702">
        <v>215985</v>
      </c>
    </row>
    <row r="104" spans="1:14" ht="14.4" customHeight="1" x14ac:dyDescent="0.3">
      <c r="A104" s="696" t="s">
        <v>505</v>
      </c>
      <c r="B104" s="697" t="s">
        <v>506</v>
      </c>
      <c r="C104" s="698" t="s">
        <v>519</v>
      </c>
      <c r="D104" s="699" t="s">
        <v>520</v>
      </c>
      <c r="E104" s="700">
        <v>50113001</v>
      </c>
      <c r="F104" s="699" t="s">
        <v>524</v>
      </c>
      <c r="G104" s="698" t="s">
        <v>525</v>
      </c>
      <c r="H104" s="698">
        <v>108499</v>
      </c>
      <c r="I104" s="698">
        <v>8499</v>
      </c>
      <c r="J104" s="698" t="s">
        <v>705</v>
      </c>
      <c r="K104" s="698" t="s">
        <v>706</v>
      </c>
      <c r="L104" s="701">
        <v>111.51999999999995</v>
      </c>
      <c r="M104" s="701">
        <v>820</v>
      </c>
      <c r="N104" s="702">
        <v>91446.399999999965</v>
      </c>
    </row>
    <row r="105" spans="1:14" ht="14.4" customHeight="1" x14ac:dyDescent="0.3">
      <c r="A105" s="696" t="s">
        <v>505</v>
      </c>
      <c r="B105" s="697" t="s">
        <v>506</v>
      </c>
      <c r="C105" s="698" t="s">
        <v>519</v>
      </c>
      <c r="D105" s="699" t="s">
        <v>520</v>
      </c>
      <c r="E105" s="700">
        <v>50113001</v>
      </c>
      <c r="F105" s="699" t="s">
        <v>524</v>
      </c>
      <c r="G105" s="698" t="s">
        <v>525</v>
      </c>
      <c r="H105" s="698">
        <v>104071</v>
      </c>
      <c r="I105" s="698">
        <v>4071</v>
      </c>
      <c r="J105" s="698" t="s">
        <v>707</v>
      </c>
      <c r="K105" s="698" t="s">
        <v>708</v>
      </c>
      <c r="L105" s="701">
        <v>152.97333333333336</v>
      </c>
      <c r="M105" s="701">
        <v>6</v>
      </c>
      <c r="N105" s="702">
        <v>917.84000000000015</v>
      </c>
    </row>
    <row r="106" spans="1:14" ht="14.4" customHeight="1" x14ac:dyDescent="0.3">
      <c r="A106" s="696" t="s">
        <v>505</v>
      </c>
      <c r="B106" s="697" t="s">
        <v>506</v>
      </c>
      <c r="C106" s="698" t="s">
        <v>519</v>
      </c>
      <c r="D106" s="699" t="s">
        <v>520</v>
      </c>
      <c r="E106" s="700">
        <v>50113001</v>
      </c>
      <c r="F106" s="699" t="s">
        <v>524</v>
      </c>
      <c r="G106" s="698" t="s">
        <v>525</v>
      </c>
      <c r="H106" s="698">
        <v>102479</v>
      </c>
      <c r="I106" s="698">
        <v>2479</v>
      </c>
      <c r="J106" s="698" t="s">
        <v>707</v>
      </c>
      <c r="K106" s="698" t="s">
        <v>709</v>
      </c>
      <c r="L106" s="701">
        <v>65.570000000000022</v>
      </c>
      <c r="M106" s="701">
        <v>1</v>
      </c>
      <c r="N106" s="702">
        <v>65.570000000000022</v>
      </c>
    </row>
    <row r="107" spans="1:14" ht="14.4" customHeight="1" x14ac:dyDescent="0.3">
      <c r="A107" s="696" t="s">
        <v>505</v>
      </c>
      <c r="B107" s="697" t="s">
        <v>506</v>
      </c>
      <c r="C107" s="698" t="s">
        <v>519</v>
      </c>
      <c r="D107" s="699" t="s">
        <v>520</v>
      </c>
      <c r="E107" s="700">
        <v>50113001</v>
      </c>
      <c r="F107" s="699" t="s">
        <v>524</v>
      </c>
      <c r="G107" s="698" t="s">
        <v>525</v>
      </c>
      <c r="H107" s="698">
        <v>846599</v>
      </c>
      <c r="I107" s="698">
        <v>107754</v>
      </c>
      <c r="J107" s="698" t="s">
        <v>710</v>
      </c>
      <c r="K107" s="698" t="s">
        <v>507</v>
      </c>
      <c r="L107" s="701">
        <v>131.33499999999998</v>
      </c>
      <c r="M107" s="701">
        <v>40</v>
      </c>
      <c r="N107" s="702">
        <v>5253.4</v>
      </c>
    </row>
    <row r="108" spans="1:14" ht="14.4" customHeight="1" x14ac:dyDescent="0.3">
      <c r="A108" s="696" t="s">
        <v>505</v>
      </c>
      <c r="B108" s="697" t="s">
        <v>506</v>
      </c>
      <c r="C108" s="698" t="s">
        <v>519</v>
      </c>
      <c r="D108" s="699" t="s">
        <v>520</v>
      </c>
      <c r="E108" s="700">
        <v>50113001</v>
      </c>
      <c r="F108" s="699" t="s">
        <v>524</v>
      </c>
      <c r="G108" s="698" t="s">
        <v>525</v>
      </c>
      <c r="H108" s="698">
        <v>158425</v>
      </c>
      <c r="I108" s="698">
        <v>58425</v>
      </c>
      <c r="J108" s="698" t="s">
        <v>711</v>
      </c>
      <c r="K108" s="698" t="s">
        <v>712</v>
      </c>
      <c r="L108" s="701">
        <v>82.009999999999991</v>
      </c>
      <c r="M108" s="701">
        <v>3</v>
      </c>
      <c r="N108" s="702">
        <v>246.02999999999997</v>
      </c>
    </row>
    <row r="109" spans="1:14" ht="14.4" customHeight="1" x14ac:dyDescent="0.3">
      <c r="A109" s="696" t="s">
        <v>505</v>
      </c>
      <c r="B109" s="697" t="s">
        <v>506</v>
      </c>
      <c r="C109" s="698" t="s">
        <v>519</v>
      </c>
      <c r="D109" s="699" t="s">
        <v>520</v>
      </c>
      <c r="E109" s="700">
        <v>50113001</v>
      </c>
      <c r="F109" s="699" t="s">
        <v>524</v>
      </c>
      <c r="G109" s="698" t="s">
        <v>525</v>
      </c>
      <c r="H109" s="698">
        <v>154539</v>
      </c>
      <c r="I109" s="698">
        <v>54539</v>
      </c>
      <c r="J109" s="698" t="s">
        <v>713</v>
      </c>
      <c r="K109" s="698" t="s">
        <v>714</v>
      </c>
      <c r="L109" s="701">
        <v>60.209999999999987</v>
      </c>
      <c r="M109" s="701">
        <v>18</v>
      </c>
      <c r="N109" s="702">
        <v>1083.7799999999997</v>
      </c>
    </row>
    <row r="110" spans="1:14" ht="14.4" customHeight="1" x14ac:dyDescent="0.3">
      <c r="A110" s="696" t="s">
        <v>505</v>
      </c>
      <c r="B110" s="697" t="s">
        <v>506</v>
      </c>
      <c r="C110" s="698" t="s">
        <v>519</v>
      </c>
      <c r="D110" s="699" t="s">
        <v>520</v>
      </c>
      <c r="E110" s="700">
        <v>50113001</v>
      </c>
      <c r="F110" s="699" t="s">
        <v>524</v>
      </c>
      <c r="G110" s="698" t="s">
        <v>546</v>
      </c>
      <c r="H110" s="698">
        <v>215715</v>
      </c>
      <c r="I110" s="698">
        <v>215715</v>
      </c>
      <c r="J110" s="698" t="s">
        <v>715</v>
      </c>
      <c r="K110" s="698" t="s">
        <v>716</v>
      </c>
      <c r="L110" s="701">
        <v>66.34</v>
      </c>
      <c r="M110" s="701">
        <v>11</v>
      </c>
      <c r="N110" s="702">
        <v>729.74</v>
      </c>
    </row>
    <row r="111" spans="1:14" ht="14.4" customHeight="1" x14ac:dyDescent="0.3">
      <c r="A111" s="696" t="s">
        <v>505</v>
      </c>
      <c r="B111" s="697" t="s">
        <v>506</v>
      </c>
      <c r="C111" s="698" t="s">
        <v>519</v>
      </c>
      <c r="D111" s="699" t="s">
        <v>520</v>
      </c>
      <c r="E111" s="700">
        <v>50113001</v>
      </c>
      <c r="F111" s="699" t="s">
        <v>524</v>
      </c>
      <c r="G111" s="698" t="s">
        <v>525</v>
      </c>
      <c r="H111" s="698">
        <v>183553</v>
      </c>
      <c r="I111" s="698">
        <v>183553</v>
      </c>
      <c r="J111" s="698" t="s">
        <v>717</v>
      </c>
      <c r="K111" s="698" t="s">
        <v>718</v>
      </c>
      <c r="L111" s="701">
        <v>413.96000000000009</v>
      </c>
      <c r="M111" s="701">
        <v>1</v>
      </c>
      <c r="N111" s="702">
        <v>413.96000000000009</v>
      </c>
    </row>
    <row r="112" spans="1:14" ht="14.4" customHeight="1" x14ac:dyDescent="0.3">
      <c r="A112" s="696" t="s">
        <v>505</v>
      </c>
      <c r="B112" s="697" t="s">
        <v>506</v>
      </c>
      <c r="C112" s="698" t="s">
        <v>519</v>
      </c>
      <c r="D112" s="699" t="s">
        <v>520</v>
      </c>
      <c r="E112" s="700">
        <v>50113001</v>
      </c>
      <c r="F112" s="699" t="s">
        <v>524</v>
      </c>
      <c r="G112" s="698" t="s">
        <v>525</v>
      </c>
      <c r="H112" s="698">
        <v>920235</v>
      </c>
      <c r="I112" s="698">
        <v>15880</v>
      </c>
      <c r="J112" s="698" t="s">
        <v>719</v>
      </c>
      <c r="K112" s="698" t="s">
        <v>507</v>
      </c>
      <c r="L112" s="701">
        <v>163.57</v>
      </c>
      <c r="M112" s="701">
        <v>3</v>
      </c>
      <c r="N112" s="702">
        <v>490.71</v>
      </c>
    </row>
    <row r="113" spans="1:14" ht="14.4" customHeight="1" x14ac:dyDescent="0.3">
      <c r="A113" s="696" t="s">
        <v>505</v>
      </c>
      <c r="B113" s="697" t="s">
        <v>506</v>
      </c>
      <c r="C113" s="698" t="s">
        <v>519</v>
      </c>
      <c r="D113" s="699" t="s">
        <v>520</v>
      </c>
      <c r="E113" s="700">
        <v>50113001</v>
      </c>
      <c r="F113" s="699" t="s">
        <v>524</v>
      </c>
      <c r="G113" s="698" t="s">
        <v>525</v>
      </c>
      <c r="H113" s="698">
        <v>23987</v>
      </c>
      <c r="I113" s="698">
        <v>23987</v>
      </c>
      <c r="J113" s="698" t="s">
        <v>720</v>
      </c>
      <c r="K113" s="698" t="s">
        <v>721</v>
      </c>
      <c r="L113" s="701">
        <v>175.02999614559144</v>
      </c>
      <c r="M113" s="701">
        <v>16</v>
      </c>
      <c r="N113" s="702">
        <v>2800.479938329463</v>
      </c>
    </row>
    <row r="114" spans="1:14" ht="14.4" customHeight="1" x14ac:dyDescent="0.3">
      <c r="A114" s="696" t="s">
        <v>505</v>
      </c>
      <c r="B114" s="697" t="s">
        <v>506</v>
      </c>
      <c r="C114" s="698" t="s">
        <v>519</v>
      </c>
      <c r="D114" s="699" t="s">
        <v>520</v>
      </c>
      <c r="E114" s="700">
        <v>50113001</v>
      </c>
      <c r="F114" s="699" t="s">
        <v>524</v>
      </c>
      <c r="G114" s="698" t="s">
        <v>525</v>
      </c>
      <c r="H114" s="698">
        <v>215473</v>
      </c>
      <c r="I114" s="698">
        <v>215473</v>
      </c>
      <c r="J114" s="698" t="s">
        <v>722</v>
      </c>
      <c r="K114" s="698" t="s">
        <v>723</v>
      </c>
      <c r="L114" s="701">
        <v>360.59</v>
      </c>
      <c r="M114" s="701">
        <v>42</v>
      </c>
      <c r="N114" s="702">
        <v>15144.779999999999</v>
      </c>
    </row>
    <row r="115" spans="1:14" ht="14.4" customHeight="1" x14ac:dyDescent="0.3">
      <c r="A115" s="696" t="s">
        <v>505</v>
      </c>
      <c r="B115" s="697" t="s">
        <v>506</v>
      </c>
      <c r="C115" s="698" t="s">
        <v>519</v>
      </c>
      <c r="D115" s="699" t="s">
        <v>520</v>
      </c>
      <c r="E115" s="700">
        <v>50113001</v>
      </c>
      <c r="F115" s="699" t="s">
        <v>524</v>
      </c>
      <c r="G115" s="698" t="s">
        <v>525</v>
      </c>
      <c r="H115" s="698">
        <v>215474</v>
      </c>
      <c r="I115" s="698">
        <v>215474</v>
      </c>
      <c r="J115" s="698" t="s">
        <v>724</v>
      </c>
      <c r="K115" s="698" t="s">
        <v>725</v>
      </c>
      <c r="L115" s="701">
        <v>530.07744929220155</v>
      </c>
      <c r="M115" s="701">
        <v>51</v>
      </c>
      <c r="N115" s="702">
        <v>27033.949913902281</v>
      </c>
    </row>
    <row r="116" spans="1:14" ht="14.4" customHeight="1" x14ac:dyDescent="0.3">
      <c r="A116" s="696" t="s">
        <v>505</v>
      </c>
      <c r="B116" s="697" t="s">
        <v>506</v>
      </c>
      <c r="C116" s="698" t="s">
        <v>519</v>
      </c>
      <c r="D116" s="699" t="s">
        <v>520</v>
      </c>
      <c r="E116" s="700">
        <v>50113001</v>
      </c>
      <c r="F116" s="699" t="s">
        <v>524</v>
      </c>
      <c r="G116" s="698" t="s">
        <v>525</v>
      </c>
      <c r="H116" s="698">
        <v>501596</v>
      </c>
      <c r="I116" s="698">
        <v>0</v>
      </c>
      <c r="J116" s="698" t="s">
        <v>726</v>
      </c>
      <c r="K116" s="698" t="s">
        <v>727</v>
      </c>
      <c r="L116" s="701">
        <v>113.25999999999999</v>
      </c>
      <c r="M116" s="701">
        <v>1</v>
      </c>
      <c r="N116" s="702">
        <v>113.25999999999999</v>
      </c>
    </row>
    <row r="117" spans="1:14" ht="14.4" customHeight="1" x14ac:dyDescent="0.3">
      <c r="A117" s="696" t="s">
        <v>505</v>
      </c>
      <c r="B117" s="697" t="s">
        <v>506</v>
      </c>
      <c r="C117" s="698" t="s">
        <v>519</v>
      </c>
      <c r="D117" s="699" t="s">
        <v>520</v>
      </c>
      <c r="E117" s="700">
        <v>50113001</v>
      </c>
      <c r="F117" s="699" t="s">
        <v>524</v>
      </c>
      <c r="G117" s="698" t="s">
        <v>546</v>
      </c>
      <c r="H117" s="698">
        <v>847627</v>
      </c>
      <c r="I117" s="698">
        <v>134502</v>
      </c>
      <c r="J117" s="698" t="s">
        <v>728</v>
      </c>
      <c r="K117" s="698" t="s">
        <v>729</v>
      </c>
      <c r="L117" s="701">
        <v>50.35</v>
      </c>
      <c r="M117" s="701">
        <v>1</v>
      </c>
      <c r="N117" s="702">
        <v>50.35</v>
      </c>
    </row>
    <row r="118" spans="1:14" ht="14.4" customHeight="1" x14ac:dyDescent="0.3">
      <c r="A118" s="696" t="s">
        <v>505</v>
      </c>
      <c r="B118" s="697" t="s">
        <v>506</v>
      </c>
      <c r="C118" s="698" t="s">
        <v>519</v>
      </c>
      <c r="D118" s="699" t="s">
        <v>520</v>
      </c>
      <c r="E118" s="700">
        <v>50113001</v>
      </c>
      <c r="F118" s="699" t="s">
        <v>524</v>
      </c>
      <c r="G118" s="698" t="s">
        <v>525</v>
      </c>
      <c r="H118" s="698">
        <v>159642</v>
      </c>
      <c r="I118" s="698">
        <v>59642</v>
      </c>
      <c r="J118" s="698" t="s">
        <v>730</v>
      </c>
      <c r="K118" s="698" t="s">
        <v>731</v>
      </c>
      <c r="L118" s="701">
        <v>172.79999999999993</v>
      </c>
      <c r="M118" s="701">
        <v>1</v>
      </c>
      <c r="N118" s="702">
        <v>172.79999999999993</v>
      </c>
    </row>
    <row r="119" spans="1:14" ht="14.4" customHeight="1" x14ac:dyDescent="0.3">
      <c r="A119" s="696" t="s">
        <v>505</v>
      </c>
      <c r="B119" s="697" t="s">
        <v>506</v>
      </c>
      <c r="C119" s="698" t="s">
        <v>519</v>
      </c>
      <c r="D119" s="699" t="s">
        <v>520</v>
      </c>
      <c r="E119" s="700">
        <v>50113001</v>
      </c>
      <c r="F119" s="699" t="s">
        <v>524</v>
      </c>
      <c r="G119" s="698" t="s">
        <v>525</v>
      </c>
      <c r="H119" s="698">
        <v>145274</v>
      </c>
      <c r="I119" s="698">
        <v>45274</v>
      </c>
      <c r="J119" s="698" t="s">
        <v>730</v>
      </c>
      <c r="K119" s="698" t="s">
        <v>732</v>
      </c>
      <c r="L119" s="701">
        <v>56.269999999999996</v>
      </c>
      <c r="M119" s="701">
        <v>4</v>
      </c>
      <c r="N119" s="702">
        <v>225.07999999999998</v>
      </c>
    </row>
    <row r="120" spans="1:14" ht="14.4" customHeight="1" x14ac:dyDescent="0.3">
      <c r="A120" s="696" t="s">
        <v>505</v>
      </c>
      <c r="B120" s="697" t="s">
        <v>506</v>
      </c>
      <c r="C120" s="698" t="s">
        <v>519</v>
      </c>
      <c r="D120" s="699" t="s">
        <v>520</v>
      </c>
      <c r="E120" s="700">
        <v>50113001</v>
      </c>
      <c r="F120" s="699" t="s">
        <v>524</v>
      </c>
      <c r="G120" s="698" t="s">
        <v>525</v>
      </c>
      <c r="H120" s="698">
        <v>162597</v>
      </c>
      <c r="I120" s="698">
        <v>62597</v>
      </c>
      <c r="J120" s="698" t="s">
        <v>733</v>
      </c>
      <c r="K120" s="698" t="s">
        <v>734</v>
      </c>
      <c r="L120" s="701">
        <v>77.855000000000032</v>
      </c>
      <c r="M120" s="701">
        <v>6</v>
      </c>
      <c r="N120" s="702">
        <v>467.13000000000022</v>
      </c>
    </row>
    <row r="121" spans="1:14" ht="14.4" customHeight="1" x14ac:dyDescent="0.3">
      <c r="A121" s="696" t="s">
        <v>505</v>
      </c>
      <c r="B121" s="697" t="s">
        <v>506</v>
      </c>
      <c r="C121" s="698" t="s">
        <v>519</v>
      </c>
      <c r="D121" s="699" t="s">
        <v>520</v>
      </c>
      <c r="E121" s="700">
        <v>50113001</v>
      </c>
      <c r="F121" s="699" t="s">
        <v>524</v>
      </c>
      <c r="G121" s="698" t="s">
        <v>525</v>
      </c>
      <c r="H121" s="698">
        <v>166015</v>
      </c>
      <c r="I121" s="698">
        <v>66015</v>
      </c>
      <c r="J121" s="698" t="s">
        <v>735</v>
      </c>
      <c r="K121" s="698" t="s">
        <v>736</v>
      </c>
      <c r="L121" s="701">
        <v>83.52000000000001</v>
      </c>
      <c r="M121" s="701">
        <v>1</v>
      </c>
      <c r="N121" s="702">
        <v>83.52000000000001</v>
      </c>
    </row>
    <row r="122" spans="1:14" ht="14.4" customHeight="1" x14ac:dyDescent="0.3">
      <c r="A122" s="696" t="s">
        <v>505</v>
      </c>
      <c r="B122" s="697" t="s">
        <v>506</v>
      </c>
      <c r="C122" s="698" t="s">
        <v>519</v>
      </c>
      <c r="D122" s="699" t="s">
        <v>520</v>
      </c>
      <c r="E122" s="700">
        <v>50113001</v>
      </c>
      <c r="F122" s="699" t="s">
        <v>524</v>
      </c>
      <c r="G122" s="698" t="s">
        <v>525</v>
      </c>
      <c r="H122" s="698">
        <v>217079</v>
      </c>
      <c r="I122" s="698">
        <v>217079</v>
      </c>
      <c r="J122" s="698" t="s">
        <v>737</v>
      </c>
      <c r="K122" s="698" t="s">
        <v>738</v>
      </c>
      <c r="L122" s="701">
        <v>161.74603773584903</v>
      </c>
      <c r="M122" s="701">
        <v>53</v>
      </c>
      <c r="N122" s="702">
        <v>8572.5399999999991</v>
      </c>
    </row>
    <row r="123" spans="1:14" ht="14.4" customHeight="1" x14ac:dyDescent="0.3">
      <c r="A123" s="696" t="s">
        <v>505</v>
      </c>
      <c r="B123" s="697" t="s">
        <v>506</v>
      </c>
      <c r="C123" s="698" t="s">
        <v>519</v>
      </c>
      <c r="D123" s="699" t="s">
        <v>520</v>
      </c>
      <c r="E123" s="700">
        <v>50113001</v>
      </c>
      <c r="F123" s="699" t="s">
        <v>524</v>
      </c>
      <c r="G123" s="698" t="s">
        <v>525</v>
      </c>
      <c r="H123" s="698">
        <v>447</v>
      </c>
      <c r="I123" s="698">
        <v>447</v>
      </c>
      <c r="J123" s="698" t="s">
        <v>739</v>
      </c>
      <c r="K123" s="698" t="s">
        <v>740</v>
      </c>
      <c r="L123" s="701">
        <v>178.48</v>
      </c>
      <c r="M123" s="701">
        <v>3</v>
      </c>
      <c r="N123" s="702">
        <v>535.43999999999994</v>
      </c>
    </row>
    <row r="124" spans="1:14" ht="14.4" customHeight="1" x14ac:dyDescent="0.3">
      <c r="A124" s="696" t="s">
        <v>505</v>
      </c>
      <c r="B124" s="697" t="s">
        <v>506</v>
      </c>
      <c r="C124" s="698" t="s">
        <v>519</v>
      </c>
      <c r="D124" s="699" t="s">
        <v>520</v>
      </c>
      <c r="E124" s="700">
        <v>50113001</v>
      </c>
      <c r="F124" s="699" t="s">
        <v>524</v>
      </c>
      <c r="G124" s="698" t="s">
        <v>525</v>
      </c>
      <c r="H124" s="698">
        <v>214593</v>
      </c>
      <c r="I124" s="698">
        <v>214593</v>
      </c>
      <c r="J124" s="698" t="s">
        <v>741</v>
      </c>
      <c r="K124" s="698" t="s">
        <v>742</v>
      </c>
      <c r="L124" s="701">
        <v>56.087499999999999</v>
      </c>
      <c r="M124" s="701">
        <v>4</v>
      </c>
      <c r="N124" s="702">
        <v>224.35</v>
      </c>
    </row>
    <row r="125" spans="1:14" ht="14.4" customHeight="1" x14ac:dyDescent="0.3">
      <c r="A125" s="696" t="s">
        <v>505</v>
      </c>
      <c r="B125" s="697" t="s">
        <v>506</v>
      </c>
      <c r="C125" s="698" t="s">
        <v>519</v>
      </c>
      <c r="D125" s="699" t="s">
        <v>520</v>
      </c>
      <c r="E125" s="700">
        <v>50113001</v>
      </c>
      <c r="F125" s="699" t="s">
        <v>524</v>
      </c>
      <c r="G125" s="698" t="s">
        <v>525</v>
      </c>
      <c r="H125" s="698">
        <v>199680</v>
      </c>
      <c r="I125" s="698">
        <v>199680</v>
      </c>
      <c r="J125" s="698" t="s">
        <v>743</v>
      </c>
      <c r="K125" s="698" t="s">
        <v>744</v>
      </c>
      <c r="L125" s="701">
        <v>362.91999999999996</v>
      </c>
      <c r="M125" s="701">
        <v>1</v>
      </c>
      <c r="N125" s="702">
        <v>362.91999999999996</v>
      </c>
    </row>
    <row r="126" spans="1:14" ht="14.4" customHeight="1" x14ac:dyDescent="0.3">
      <c r="A126" s="696" t="s">
        <v>505</v>
      </c>
      <c r="B126" s="697" t="s">
        <v>506</v>
      </c>
      <c r="C126" s="698" t="s">
        <v>519</v>
      </c>
      <c r="D126" s="699" t="s">
        <v>520</v>
      </c>
      <c r="E126" s="700">
        <v>50113001</v>
      </c>
      <c r="F126" s="699" t="s">
        <v>524</v>
      </c>
      <c r="G126" s="698" t="s">
        <v>525</v>
      </c>
      <c r="H126" s="698">
        <v>192757</v>
      </c>
      <c r="I126" s="698">
        <v>92757</v>
      </c>
      <c r="J126" s="698" t="s">
        <v>745</v>
      </c>
      <c r="K126" s="698" t="s">
        <v>746</v>
      </c>
      <c r="L126" s="701">
        <v>74.349999999999994</v>
      </c>
      <c r="M126" s="701">
        <v>2</v>
      </c>
      <c r="N126" s="702">
        <v>148.69999999999999</v>
      </c>
    </row>
    <row r="127" spans="1:14" ht="14.4" customHeight="1" x14ac:dyDescent="0.3">
      <c r="A127" s="696" t="s">
        <v>505</v>
      </c>
      <c r="B127" s="697" t="s">
        <v>506</v>
      </c>
      <c r="C127" s="698" t="s">
        <v>519</v>
      </c>
      <c r="D127" s="699" t="s">
        <v>520</v>
      </c>
      <c r="E127" s="700">
        <v>50113001</v>
      </c>
      <c r="F127" s="699" t="s">
        <v>524</v>
      </c>
      <c r="G127" s="698" t="s">
        <v>507</v>
      </c>
      <c r="H127" s="698">
        <v>846826</v>
      </c>
      <c r="I127" s="698">
        <v>125002</v>
      </c>
      <c r="J127" s="698" t="s">
        <v>747</v>
      </c>
      <c r="K127" s="698" t="s">
        <v>507</v>
      </c>
      <c r="L127" s="701">
        <v>963.95</v>
      </c>
      <c r="M127" s="701">
        <v>1</v>
      </c>
      <c r="N127" s="702">
        <v>963.95</v>
      </c>
    </row>
    <row r="128" spans="1:14" ht="14.4" customHeight="1" x14ac:dyDescent="0.3">
      <c r="A128" s="696" t="s">
        <v>505</v>
      </c>
      <c r="B128" s="697" t="s">
        <v>506</v>
      </c>
      <c r="C128" s="698" t="s">
        <v>519</v>
      </c>
      <c r="D128" s="699" t="s">
        <v>520</v>
      </c>
      <c r="E128" s="700">
        <v>50113001</v>
      </c>
      <c r="F128" s="699" t="s">
        <v>524</v>
      </c>
      <c r="G128" s="698" t="s">
        <v>525</v>
      </c>
      <c r="H128" s="698">
        <v>157586</v>
      </c>
      <c r="I128" s="698">
        <v>57586</v>
      </c>
      <c r="J128" s="698" t="s">
        <v>748</v>
      </c>
      <c r="K128" s="698" t="s">
        <v>749</v>
      </c>
      <c r="L128" s="701">
        <v>73.709999999999994</v>
      </c>
      <c r="M128" s="701">
        <v>1</v>
      </c>
      <c r="N128" s="702">
        <v>73.709999999999994</v>
      </c>
    </row>
    <row r="129" spans="1:14" ht="14.4" customHeight="1" x14ac:dyDescent="0.3">
      <c r="A129" s="696" t="s">
        <v>505</v>
      </c>
      <c r="B129" s="697" t="s">
        <v>506</v>
      </c>
      <c r="C129" s="698" t="s">
        <v>519</v>
      </c>
      <c r="D129" s="699" t="s">
        <v>520</v>
      </c>
      <c r="E129" s="700">
        <v>50113001</v>
      </c>
      <c r="F129" s="699" t="s">
        <v>524</v>
      </c>
      <c r="G129" s="698" t="s">
        <v>525</v>
      </c>
      <c r="H129" s="698">
        <v>149990</v>
      </c>
      <c r="I129" s="698">
        <v>49990</v>
      </c>
      <c r="J129" s="698" t="s">
        <v>750</v>
      </c>
      <c r="K129" s="698" t="s">
        <v>751</v>
      </c>
      <c r="L129" s="701">
        <v>123.3420183486239</v>
      </c>
      <c r="M129" s="701">
        <v>109</v>
      </c>
      <c r="N129" s="702">
        <v>13444.280000000004</v>
      </c>
    </row>
    <row r="130" spans="1:14" ht="14.4" customHeight="1" x14ac:dyDescent="0.3">
      <c r="A130" s="696" t="s">
        <v>505</v>
      </c>
      <c r="B130" s="697" t="s">
        <v>506</v>
      </c>
      <c r="C130" s="698" t="s">
        <v>519</v>
      </c>
      <c r="D130" s="699" t="s">
        <v>520</v>
      </c>
      <c r="E130" s="700">
        <v>50113001</v>
      </c>
      <c r="F130" s="699" t="s">
        <v>524</v>
      </c>
      <c r="G130" s="698" t="s">
        <v>507</v>
      </c>
      <c r="H130" s="698">
        <v>133152</v>
      </c>
      <c r="I130" s="698">
        <v>33152</v>
      </c>
      <c r="J130" s="698" t="s">
        <v>752</v>
      </c>
      <c r="K130" s="698" t="s">
        <v>753</v>
      </c>
      <c r="L130" s="701">
        <v>102.21000000000002</v>
      </c>
      <c r="M130" s="701">
        <v>2</v>
      </c>
      <c r="N130" s="702">
        <v>204.42000000000004</v>
      </c>
    </row>
    <row r="131" spans="1:14" ht="14.4" customHeight="1" x14ac:dyDescent="0.3">
      <c r="A131" s="696" t="s">
        <v>505</v>
      </c>
      <c r="B131" s="697" t="s">
        <v>506</v>
      </c>
      <c r="C131" s="698" t="s">
        <v>519</v>
      </c>
      <c r="D131" s="699" t="s">
        <v>520</v>
      </c>
      <c r="E131" s="700">
        <v>50113001</v>
      </c>
      <c r="F131" s="699" t="s">
        <v>524</v>
      </c>
      <c r="G131" s="698" t="s">
        <v>525</v>
      </c>
      <c r="H131" s="698">
        <v>116287</v>
      </c>
      <c r="I131" s="698">
        <v>16287</v>
      </c>
      <c r="J131" s="698" t="s">
        <v>754</v>
      </c>
      <c r="K131" s="698" t="s">
        <v>755</v>
      </c>
      <c r="L131" s="701">
        <v>159.57999999999998</v>
      </c>
      <c r="M131" s="701">
        <v>1</v>
      </c>
      <c r="N131" s="702">
        <v>159.57999999999998</v>
      </c>
    </row>
    <row r="132" spans="1:14" ht="14.4" customHeight="1" x14ac:dyDescent="0.3">
      <c r="A132" s="696" t="s">
        <v>505</v>
      </c>
      <c r="B132" s="697" t="s">
        <v>506</v>
      </c>
      <c r="C132" s="698" t="s">
        <v>519</v>
      </c>
      <c r="D132" s="699" t="s">
        <v>520</v>
      </c>
      <c r="E132" s="700">
        <v>50113001</v>
      </c>
      <c r="F132" s="699" t="s">
        <v>524</v>
      </c>
      <c r="G132" s="698" t="s">
        <v>525</v>
      </c>
      <c r="H132" s="698">
        <v>848992</v>
      </c>
      <c r="I132" s="698">
        <v>119658</v>
      </c>
      <c r="J132" s="698" t="s">
        <v>756</v>
      </c>
      <c r="K132" s="698" t="s">
        <v>757</v>
      </c>
      <c r="L132" s="701">
        <v>73.48</v>
      </c>
      <c r="M132" s="701">
        <v>1</v>
      </c>
      <c r="N132" s="702">
        <v>73.48</v>
      </c>
    </row>
    <row r="133" spans="1:14" ht="14.4" customHeight="1" x14ac:dyDescent="0.3">
      <c r="A133" s="696" t="s">
        <v>505</v>
      </c>
      <c r="B133" s="697" t="s">
        <v>506</v>
      </c>
      <c r="C133" s="698" t="s">
        <v>519</v>
      </c>
      <c r="D133" s="699" t="s">
        <v>520</v>
      </c>
      <c r="E133" s="700">
        <v>50113001</v>
      </c>
      <c r="F133" s="699" t="s">
        <v>524</v>
      </c>
      <c r="G133" s="698" t="s">
        <v>525</v>
      </c>
      <c r="H133" s="698">
        <v>173497</v>
      </c>
      <c r="I133" s="698">
        <v>173497</v>
      </c>
      <c r="J133" s="698" t="s">
        <v>758</v>
      </c>
      <c r="K133" s="698" t="s">
        <v>759</v>
      </c>
      <c r="L133" s="701">
        <v>139.85</v>
      </c>
      <c r="M133" s="701">
        <v>2</v>
      </c>
      <c r="N133" s="702">
        <v>279.7</v>
      </c>
    </row>
    <row r="134" spans="1:14" ht="14.4" customHeight="1" x14ac:dyDescent="0.3">
      <c r="A134" s="696" t="s">
        <v>505</v>
      </c>
      <c r="B134" s="697" t="s">
        <v>506</v>
      </c>
      <c r="C134" s="698" t="s">
        <v>519</v>
      </c>
      <c r="D134" s="699" t="s">
        <v>520</v>
      </c>
      <c r="E134" s="700">
        <v>50113001</v>
      </c>
      <c r="F134" s="699" t="s">
        <v>524</v>
      </c>
      <c r="G134" s="698" t="s">
        <v>525</v>
      </c>
      <c r="H134" s="698">
        <v>59571</v>
      </c>
      <c r="I134" s="698">
        <v>59571</v>
      </c>
      <c r="J134" s="698" t="s">
        <v>760</v>
      </c>
      <c r="K134" s="698" t="s">
        <v>761</v>
      </c>
      <c r="L134" s="701">
        <v>236.91999999999993</v>
      </c>
      <c r="M134" s="701">
        <v>1</v>
      </c>
      <c r="N134" s="702">
        <v>236.91999999999993</v>
      </c>
    </row>
    <row r="135" spans="1:14" ht="14.4" customHeight="1" x14ac:dyDescent="0.3">
      <c r="A135" s="696" t="s">
        <v>505</v>
      </c>
      <c r="B135" s="697" t="s">
        <v>506</v>
      </c>
      <c r="C135" s="698" t="s">
        <v>519</v>
      </c>
      <c r="D135" s="699" t="s">
        <v>520</v>
      </c>
      <c r="E135" s="700">
        <v>50113001</v>
      </c>
      <c r="F135" s="699" t="s">
        <v>524</v>
      </c>
      <c r="G135" s="698" t="s">
        <v>525</v>
      </c>
      <c r="H135" s="698">
        <v>149503</v>
      </c>
      <c r="I135" s="698">
        <v>49503</v>
      </c>
      <c r="J135" s="698" t="s">
        <v>762</v>
      </c>
      <c r="K135" s="698" t="s">
        <v>763</v>
      </c>
      <c r="L135" s="701">
        <v>109.07</v>
      </c>
      <c r="M135" s="701">
        <v>1</v>
      </c>
      <c r="N135" s="702">
        <v>109.07</v>
      </c>
    </row>
    <row r="136" spans="1:14" ht="14.4" customHeight="1" x14ac:dyDescent="0.3">
      <c r="A136" s="696" t="s">
        <v>505</v>
      </c>
      <c r="B136" s="697" t="s">
        <v>506</v>
      </c>
      <c r="C136" s="698" t="s">
        <v>519</v>
      </c>
      <c r="D136" s="699" t="s">
        <v>520</v>
      </c>
      <c r="E136" s="700">
        <v>50113001</v>
      </c>
      <c r="F136" s="699" t="s">
        <v>524</v>
      </c>
      <c r="G136" s="698" t="s">
        <v>525</v>
      </c>
      <c r="H136" s="698">
        <v>214598</v>
      </c>
      <c r="I136" s="698">
        <v>214598</v>
      </c>
      <c r="J136" s="698" t="s">
        <v>764</v>
      </c>
      <c r="K136" s="698" t="s">
        <v>765</v>
      </c>
      <c r="L136" s="701">
        <v>168.29000000000002</v>
      </c>
      <c r="M136" s="701">
        <v>3</v>
      </c>
      <c r="N136" s="702">
        <v>504.87000000000006</v>
      </c>
    </row>
    <row r="137" spans="1:14" ht="14.4" customHeight="1" x14ac:dyDescent="0.3">
      <c r="A137" s="696" t="s">
        <v>505</v>
      </c>
      <c r="B137" s="697" t="s">
        <v>506</v>
      </c>
      <c r="C137" s="698" t="s">
        <v>519</v>
      </c>
      <c r="D137" s="699" t="s">
        <v>520</v>
      </c>
      <c r="E137" s="700">
        <v>50113001</v>
      </c>
      <c r="F137" s="699" t="s">
        <v>524</v>
      </c>
      <c r="G137" s="698" t="s">
        <v>525</v>
      </c>
      <c r="H137" s="698">
        <v>193779</v>
      </c>
      <c r="I137" s="698">
        <v>93779</v>
      </c>
      <c r="J137" s="698" t="s">
        <v>766</v>
      </c>
      <c r="K137" s="698" t="s">
        <v>767</v>
      </c>
      <c r="L137" s="701">
        <v>79.635000000000005</v>
      </c>
      <c r="M137" s="701">
        <v>6</v>
      </c>
      <c r="N137" s="702">
        <v>477.81000000000006</v>
      </c>
    </row>
    <row r="138" spans="1:14" ht="14.4" customHeight="1" x14ac:dyDescent="0.3">
      <c r="A138" s="696" t="s">
        <v>505</v>
      </c>
      <c r="B138" s="697" t="s">
        <v>506</v>
      </c>
      <c r="C138" s="698" t="s">
        <v>519</v>
      </c>
      <c r="D138" s="699" t="s">
        <v>520</v>
      </c>
      <c r="E138" s="700">
        <v>50113001</v>
      </c>
      <c r="F138" s="699" t="s">
        <v>524</v>
      </c>
      <c r="G138" s="698" t="s">
        <v>525</v>
      </c>
      <c r="H138" s="698">
        <v>126898</v>
      </c>
      <c r="I138" s="698">
        <v>126898</v>
      </c>
      <c r="J138" s="698" t="s">
        <v>768</v>
      </c>
      <c r="K138" s="698" t="s">
        <v>769</v>
      </c>
      <c r="L138" s="701">
        <v>1043.02</v>
      </c>
      <c r="M138" s="701">
        <v>1</v>
      </c>
      <c r="N138" s="702">
        <v>1043.02</v>
      </c>
    </row>
    <row r="139" spans="1:14" ht="14.4" customHeight="1" x14ac:dyDescent="0.3">
      <c r="A139" s="696" t="s">
        <v>505</v>
      </c>
      <c r="B139" s="697" t="s">
        <v>506</v>
      </c>
      <c r="C139" s="698" t="s">
        <v>519</v>
      </c>
      <c r="D139" s="699" t="s">
        <v>520</v>
      </c>
      <c r="E139" s="700">
        <v>50113001</v>
      </c>
      <c r="F139" s="699" t="s">
        <v>524</v>
      </c>
      <c r="G139" s="698" t="s">
        <v>546</v>
      </c>
      <c r="H139" s="698">
        <v>213477</v>
      </c>
      <c r="I139" s="698">
        <v>213477</v>
      </c>
      <c r="J139" s="698" t="s">
        <v>770</v>
      </c>
      <c r="K139" s="698" t="s">
        <v>771</v>
      </c>
      <c r="L139" s="701">
        <v>3300</v>
      </c>
      <c r="M139" s="701">
        <v>38</v>
      </c>
      <c r="N139" s="702">
        <v>125400</v>
      </c>
    </row>
    <row r="140" spans="1:14" ht="14.4" customHeight="1" x14ac:dyDescent="0.3">
      <c r="A140" s="696" t="s">
        <v>505</v>
      </c>
      <c r="B140" s="697" t="s">
        <v>506</v>
      </c>
      <c r="C140" s="698" t="s">
        <v>519</v>
      </c>
      <c r="D140" s="699" t="s">
        <v>520</v>
      </c>
      <c r="E140" s="700">
        <v>50113001</v>
      </c>
      <c r="F140" s="699" t="s">
        <v>524</v>
      </c>
      <c r="G140" s="698" t="s">
        <v>546</v>
      </c>
      <c r="H140" s="698">
        <v>213494</v>
      </c>
      <c r="I140" s="698">
        <v>213494</v>
      </c>
      <c r="J140" s="698" t="s">
        <v>772</v>
      </c>
      <c r="K140" s="698" t="s">
        <v>773</v>
      </c>
      <c r="L140" s="701">
        <v>408.95</v>
      </c>
      <c r="M140" s="701">
        <v>2</v>
      </c>
      <c r="N140" s="702">
        <v>817.9</v>
      </c>
    </row>
    <row r="141" spans="1:14" ht="14.4" customHeight="1" x14ac:dyDescent="0.3">
      <c r="A141" s="696" t="s">
        <v>505</v>
      </c>
      <c r="B141" s="697" t="s">
        <v>506</v>
      </c>
      <c r="C141" s="698" t="s">
        <v>519</v>
      </c>
      <c r="D141" s="699" t="s">
        <v>520</v>
      </c>
      <c r="E141" s="700">
        <v>50113001</v>
      </c>
      <c r="F141" s="699" t="s">
        <v>524</v>
      </c>
      <c r="G141" s="698" t="s">
        <v>507</v>
      </c>
      <c r="H141" s="698">
        <v>198219</v>
      </c>
      <c r="I141" s="698">
        <v>98219</v>
      </c>
      <c r="J141" s="698" t="s">
        <v>774</v>
      </c>
      <c r="K141" s="698" t="s">
        <v>775</v>
      </c>
      <c r="L141" s="701">
        <v>59.3</v>
      </c>
      <c r="M141" s="701">
        <v>5</v>
      </c>
      <c r="N141" s="702">
        <v>296.5</v>
      </c>
    </row>
    <row r="142" spans="1:14" ht="14.4" customHeight="1" x14ac:dyDescent="0.3">
      <c r="A142" s="696" t="s">
        <v>505</v>
      </c>
      <c r="B142" s="697" t="s">
        <v>506</v>
      </c>
      <c r="C142" s="698" t="s">
        <v>519</v>
      </c>
      <c r="D142" s="699" t="s">
        <v>520</v>
      </c>
      <c r="E142" s="700">
        <v>50113001</v>
      </c>
      <c r="F142" s="699" t="s">
        <v>524</v>
      </c>
      <c r="G142" s="698" t="s">
        <v>546</v>
      </c>
      <c r="H142" s="698">
        <v>156804</v>
      </c>
      <c r="I142" s="698">
        <v>56804</v>
      </c>
      <c r="J142" s="698" t="s">
        <v>776</v>
      </c>
      <c r="K142" s="698" t="s">
        <v>775</v>
      </c>
      <c r="L142" s="701">
        <v>31.65</v>
      </c>
      <c r="M142" s="701">
        <v>1</v>
      </c>
      <c r="N142" s="702">
        <v>31.65</v>
      </c>
    </row>
    <row r="143" spans="1:14" ht="14.4" customHeight="1" x14ac:dyDescent="0.3">
      <c r="A143" s="696" t="s">
        <v>505</v>
      </c>
      <c r="B143" s="697" t="s">
        <v>506</v>
      </c>
      <c r="C143" s="698" t="s">
        <v>519</v>
      </c>
      <c r="D143" s="699" t="s">
        <v>520</v>
      </c>
      <c r="E143" s="700">
        <v>50113001</v>
      </c>
      <c r="F143" s="699" t="s">
        <v>524</v>
      </c>
      <c r="G143" s="698" t="s">
        <v>546</v>
      </c>
      <c r="H143" s="698">
        <v>214036</v>
      </c>
      <c r="I143" s="698">
        <v>214036</v>
      </c>
      <c r="J143" s="698" t="s">
        <v>777</v>
      </c>
      <c r="K143" s="698" t="s">
        <v>778</v>
      </c>
      <c r="L143" s="701">
        <v>40.390000000000015</v>
      </c>
      <c r="M143" s="701">
        <v>610</v>
      </c>
      <c r="N143" s="702">
        <v>24637.900000000009</v>
      </c>
    </row>
    <row r="144" spans="1:14" ht="14.4" customHeight="1" x14ac:dyDescent="0.3">
      <c r="A144" s="696" t="s">
        <v>505</v>
      </c>
      <c r="B144" s="697" t="s">
        <v>506</v>
      </c>
      <c r="C144" s="698" t="s">
        <v>519</v>
      </c>
      <c r="D144" s="699" t="s">
        <v>520</v>
      </c>
      <c r="E144" s="700">
        <v>50113001</v>
      </c>
      <c r="F144" s="699" t="s">
        <v>524</v>
      </c>
      <c r="G144" s="698" t="s">
        <v>525</v>
      </c>
      <c r="H144" s="698">
        <v>199333</v>
      </c>
      <c r="I144" s="698">
        <v>99333</v>
      </c>
      <c r="J144" s="698" t="s">
        <v>779</v>
      </c>
      <c r="K144" s="698" t="s">
        <v>780</v>
      </c>
      <c r="L144" s="701">
        <v>246.16817142857147</v>
      </c>
      <c r="M144" s="701">
        <v>175</v>
      </c>
      <c r="N144" s="702">
        <v>43079.430000000008</v>
      </c>
    </row>
    <row r="145" spans="1:14" ht="14.4" customHeight="1" x14ac:dyDescent="0.3">
      <c r="A145" s="696" t="s">
        <v>505</v>
      </c>
      <c r="B145" s="697" t="s">
        <v>506</v>
      </c>
      <c r="C145" s="698" t="s">
        <v>519</v>
      </c>
      <c r="D145" s="699" t="s">
        <v>520</v>
      </c>
      <c r="E145" s="700">
        <v>50113001</v>
      </c>
      <c r="F145" s="699" t="s">
        <v>524</v>
      </c>
      <c r="G145" s="698" t="s">
        <v>525</v>
      </c>
      <c r="H145" s="698">
        <v>198876</v>
      </c>
      <c r="I145" s="698">
        <v>98876</v>
      </c>
      <c r="J145" s="698" t="s">
        <v>781</v>
      </c>
      <c r="K145" s="698" t="s">
        <v>782</v>
      </c>
      <c r="L145" s="701">
        <v>255.2</v>
      </c>
      <c r="M145" s="701">
        <v>1</v>
      </c>
      <c r="N145" s="702">
        <v>255.2</v>
      </c>
    </row>
    <row r="146" spans="1:14" ht="14.4" customHeight="1" x14ac:dyDescent="0.3">
      <c r="A146" s="696" t="s">
        <v>505</v>
      </c>
      <c r="B146" s="697" t="s">
        <v>506</v>
      </c>
      <c r="C146" s="698" t="s">
        <v>519</v>
      </c>
      <c r="D146" s="699" t="s">
        <v>520</v>
      </c>
      <c r="E146" s="700">
        <v>50113001</v>
      </c>
      <c r="F146" s="699" t="s">
        <v>524</v>
      </c>
      <c r="G146" s="698" t="s">
        <v>546</v>
      </c>
      <c r="H146" s="698">
        <v>185403</v>
      </c>
      <c r="I146" s="698">
        <v>185403</v>
      </c>
      <c r="J146" s="698" t="s">
        <v>783</v>
      </c>
      <c r="K146" s="698" t="s">
        <v>784</v>
      </c>
      <c r="L146" s="701">
        <v>1048.22</v>
      </c>
      <c r="M146" s="701">
        <v>8</v>
      </c>
      <c r="N146" s="702">
        <v>8385.76</v>
      </c>
    </row>
    <row r="147" spans="1:14" ht="14.4" customHeight="1" x14ac:dyDescent="0.3">
      <c r="A147" s="696" t="s">
        <v>505</v>
      </c>
      <c r="B147" s="697" t="s">
        <v>506</v>
      </c>
      <c r="C147" s="698" t="s">
        <v>519</v>
      </c>
      <c r="D147" s="699" t="s">
        <v>520</v>
      </c>
      <c r="E147" s="700">
        <v>50113001</v>
      </c>
      <c r="F147" s="699" t="s">
        <v>524</v>
      </c>
      <c r="G147" s="698" t="s">
        <v>525</v>
      </c>
      <c r="H147" s="698">
        <v>165633</v>
      </c>
      <c r="I147" s="698">
        <v>165751</v>
      </c>
      <c r="J147" s="698" t="s">
        <v>785</v>
      </c>
      <c r="K147" s="698" t="s">
        <v>786</v>
      </c>
      <c r="L147" s="701">
        <v>3731.8966666666661</v>
      </c>
      <c r="M147" s="701">
        <v>24</v>
      </c>
      <c r="N147" s="702">
        <v>89565.51999999999</v>
      </c>
    </row>
    <row r="148" spans="1:14" ht="14.4" customHeight="1" x14ac:dyDescent="0.3">
      <c r="A148" s="696" t="s">
        <v>505</v>
      </c>
      <c r="B148" s="697" t="s">
        <v>506</v>
      </c>
      <c r="C148" s="698" t="s">
        <v>519</v>
      </c>
      <c r="D148" s="699" t="s">
        <v>520</v>
      </c>
      <c r="E148" s="700">
        <v>50113001</v>
      </c>
      <c r="F148" s="699" t="s">
        <v>524</v>
      </c>
      <c r="G148" s="698" t="s">
        <v>525</v>
      </c>
      <c r="H148" s="698">
        <v>111337</v>
      </c>
      <c r="I148" s="698">
        <v>52421</v>
      </c>
      <c r="J148" s="698" t="s">
        <v>787</v>
      </c>
      <c r="K148" s="698" t="s">
        <v>788</v>
      </c>
      <c r="L148" s="701">
        <v>74.623511450381699</v>
      </c>
      <c r="M148" s="701">
        <v>131</v>
      </c>
      <c r="N148" s="702">
        <v>9775.6800000000021</v>
      </c>
    </row>
    <row r="149" spans="1:14" ht="14.4" customHeight="1" x14ac:dyDescent="0.3">
      <c r="A149" s="696" t="s">
        <v>505</v>
      </c>
      <c r="B149" s="697" t="s">
        <v>506</v>
      </c>
      <c r="C149" s="698" t="s">
        <v>519</v>
      </c>
      <c r="D149" s="699" t="s">
        <v>520</v>
      </c>
      <c r="E149" s="700">
        <v>50113001</v>
      </c>
      <c r="F149" s="699" t="s">
        <v>524</v>
      </c>
      <c r="G149" s="698" t="s">
        <v>507</v>
      </c>
      <c r="H149" s="698">
        <v>12098</v>
      </c>
      <c r="I149" s="698">
        <v>12098</v>
      </c>
      <c r="J149" s="698" t="s">
        <v>789</v>
      </c>
      <c r="K149" s="698" t="s">
        <v>790</v>
      </c>
      <c r="L149" s="701">
        <v>115.34</v>
      </c>
      <c r="M149" s="701">
        <v>1</v>
      </c>
      <c r="N149" s="702">
        <v>115.34</v>
      </c>
    </row>
    <row r="150" spans="1:14" ht="14.4" customHeight="1" x14ac:dyDescent="0.3">
      <c r="A150" s="696" t="s">
        <v>505</v>
      </c>
      <c r="B150" s="697" t="s">
        <v>506</v>
      </c>
      <c r="C150" s="698" t="s">
        <v>519</v>
      </c>
      <c r="D150" s="699" t="s">
        <v>520</v>
      </c>
      <c r="E150" s="700">
        <v>50113001</v>
      </c>
      <c r="F150" s="699" t="s">
        <v>524</v>
      </c>
      <c r="G150" s="698" t="s">
        <v>525</v>
      </c>
      <c r="H150" s="698">
        <v>31915</v>
      </c>
      <c r="I150" s="698">
        <v>31915</v>
      </c>
      <c r="J150" s="698" t="s">
        <v>791</v>
      </c>
      <c r="K150" s="698" t="s">
        <v>792</v>
      </c>
      <c r="L150" s="701">
        <v>173.69000002490486</v>
      </c>
      <c r="M150" s="701">
        <v>200</v>
      </c>
      <c r="N150" s="702">
        <v>34738.000004980975</v>
      </c>
    </row>
    <row r="151" spans="1:14" ht="14.4" customHeight="1" x14ac:dyDescent="0.3">
      <c r="A151" s="696" t="s">
        <v>505</v>
      </c>
      <c r="B151" s="697" t="s">
        <v>506</v>
      </c>
      <c r="C151" s="698" t="s">
        <v>519</v>
      </c>
      <c r="D151" s="699" t="s">
        <v>520</v>
      </c>
      <c r="E151" s="700">
        <v>50113001</v>
      </c>
      <c r="F151" s="699" t="s">
        <v>524</v>
      </c>
      <c r="G151" s="698" t="s">
        <v>525</v>
      </c>
      <c r="H151" s="698">
        <v>47706</v>
      </c>
      <c r="I151" s="698">
        <v>47706</v>
      </c>
      <c r="J151" s="698" t="s">
        <v>793</v>
      </c>
      <c r="K151" s="698" t="s">
        <v>792</v>
      </c>
      <c r="L151" s="701">
        <v>288.52999999999997</v>
      </c>
      <c r="M151" s="701">
        <v>23</v>
      </c>
      <c r="N151" s="702">
        <v>6636.19</v>
      </c>
    </row>
    <row r="152" spans="1:14" ht="14.4" customHeight="1" x14ac:dyDescent="0.3">
      <c r="A152" s="696" t="s">
        <v>505</v>
      </c>
      <c r="B152" s="697" t="s">
        <v>506</v>
      </c>
      <c r="C152" s="698" t="s">
        <v>519</v>
      </c>
      <c r="D152" s="699" t="s">
        <v>520</v>
      </c>
      <c r="E152" s="700">
        <v>50113001</v>
      </c>
      <c r="F152" s="699" t="s">
        <v>524</v>
      </c>
      <c r="G152" s="698" t="s">
        <v>525</v>
      </c>
      <c r="H152" s="698">
        <v>2584</v>
      </c>
      <c r="I152" s="698">
        <v>2584</v>
      </c>
      <c r="J152" s="698" t="s">
        <v>794</v>
      </c>
      <c r="K152" s="698" t="s">
        <v>792</v>
      </c>
      <c r="L152" s="701">
        <v>365.97000000000008</v>
      </c>
      <c r="M152" s="701">
        <v>6</v>
      </c>
      <c r="N152" s="702">
        <v>2195.8200000000006</v>
      </c>
    </row>
    <row r="153" spans="1:14" ht="14.4" customHeight="1" x14ac:dyDescent="0.3">
      <c r="A153" s="696" t="s">
        <v>505</v>
      </c>
      <c r="B153" s="697" t="s">
        <v>506</v>
      </c>
      <c r="C153" s="698" t="s">
        <v>519</v>
      </c>
      <c r="D153" s="699" t="s">
        <v>520</v>
      </c>
      <c r="E153" s="700">
        <v>50113001</v>
      </c>
      <c r="F153" s="699" t="s">
        <v>524</v>
      </c>
      <c r="G153" s="698" t="s">
        <v>525</v>
      </c>
      <c r="H153" s="698">
        <v>47244</v>
      </c>
      <c r="I153" s="698">
        <v>47244</v>
      </c>
      <c r="J153" s="698" t="s">
        <v>795</v>
      </c>
      <c r="K153" s="698" t="s">
        <v>792</v>
      </c>
      <c r="L153" s="701">
        <v>143</v>
      </c>
      <c r="M153" s="701">
        <v>46</v>
      </c>
      <c r="N153" s="702">
        <v>6578</v>
      </c>
    </row>
    <row r="154" spans="1:14" ht="14.4" customHeight="1" x14ac:dyDescent="0.3">
      <c r="A154" s="696" t="s">
        <v>505</v>
      </c>
      <c r="B154" s="697" t="s">
        <v>506</v>
      </c>
      <c r="C154" s="698" t="s">
        <v>519</v>
      </c>
      <c r="D154" s="699" t="s">
        <v>520</v>
      </c>
      <c r="E154" s="700">
        <v>50113001</v>
      </c>
      <c r="F154" s="699" t="s">
        <v>524</v>
      </c>
      <c r="G154" s="698" t="s">
        <v>525</v>
      </c>
      <c r="H154" s="698">
        <v>47249</v>
      </c>
      <c r="I154" s="698">
        <v>47249</v>
      </c>
      <c r="J154" s="698" t="s">
        <v>795</v>
      </c>
      <c r="K154" s="698" t="s">
        <v>796</v>
      </c>
      <c r="L154" s="701">
        <v>126.5</v>
      </c>
      <c r="M154" s="701">
        <v>107</v>
      </c>
      <c r="N154" s="702">
        <v>13535.5</v>
      </c>
    </row>
    <row r="155" spans="1:14" ht="14.4" customHeight="1" x14ac:dyDescent="0.3">
      <c r="A155" s="696" t="s">
        <v>505</v>
      </c>
      <c r="B155" s="697" t="s">
        <v>506</v>
      </c>
      <c r="C155" s="698" t="s">
        <v>519</v>
      </c>
      <c r="D155" s="699" t="s">
        <v>520</v>
      </c>
      <c r="E155" s="700">
        <v>50113001</v>
      </c>
      <c r="F155" s="699" t="s">
        <v>524</v>
      </c>
      <c r="G155" s="698" t="s">
        <v>525</v>
      </c>
      <c r="H155" s="698">
        <v>849254</v>
      </c>
      <c r="I155" s="698">
        <v>155780</v>
      </c>
      <c r="J155" s="698" t="s">
        <v>797</v>
      </c>
      <c r="K155" s="698" t="s">
        <v>798</v>
      </c>
      <c r="L155" s="701">
        <v>26.089999999999996</v>
      </c>
      <c r="M155" s="701">
        <v>2</v>
      </c>
      <c r="N155" s="702">
        <v>52.179999999999993</v>
      </c>
    </row>
    <row r="156" spans="1:14" ht="14.4" customHeight="1" x14ac:dyDescent="0.3">
      <c r="A156" s="696" t="s">
        <v>505</v>
      </c>
      <c r="B156" s="697" t="s">
        <v>506</v>
      </c>
      <c r="C156" s="698" t="s">
        <v>519</v>
      </c>
      <c r="D156" s="699" t="s">
        <v>520</v>
      </c>
      <c r="E156" s="700">
        <v>50113001</v>
      </c>
      <c r="F156" s="699" t="s">
        <v>524</v>
      </c>
      <c r="G156" s="698" t="s">
        <v>525</v>
      </c>
      <c r="H156" s="698">
        <v>848930</v>
      </c>
      <c r="I156" s="698">
        <v>155781</v>
      </c>
      <c r="J156" s="698" t="s">
        <v>797</v>
      </c>
      <c r="K156" s="698" t="s">
        <v>799</v>
      </c>
      <c r="L156" s="701">
        <v>33.210000000000008</v>
      </c>
      <c r="M156" s="701">
        <v>2</v>
      </c>
      <c r="N156" s="702">
        <v>66.420000000000016</v>
      </c>
    </row>
    <row r="157" spans="1:14" ht="14.4" customHeight="1" x14ac:dyDescent="0.3">
      <c r="A157" s="696" t="s">
        <v>505</v>
      </c>
      <c r="B157" s="697" t="s">
        <v>506</v>
      </c>
      <c r="C157" s="698" t="s">
        <v>519</v>
      </c>
      <c r="D157" s="699" t="s">
        <v>520</v>
      </c>
      <c r="E157" s="700">
        <v>50113001</v>
      </c>
      <c r="F157" s="699" t="s">
        <v>524</v>
      </c>
      <c r="G157" s="698" t="s">
        <v>525</v>
      </c>
      <c r="H157" s="698">
        <v>848335</v>
      </c>
      <c r="I157" s="698">
        <v>155782</v>
      </c>
      <c r="J157" s="698" t="s">
        <v>797</v>
      </c>
      <c r="K157" s="698" t="s">
        <v>800</v>
      </c>
      <c r="L157" s="701">
        <v>53.530000000000015</v>
      </c>
      <c r="M157" s="701">
        <v>2</v>
      </c>
      <c r="N157" s="702">
        <v>107.06000000000003</v>
      </c>
    </row>
    <row r="158" spans="1:14" ht="14.4" customHeight="1" x14ac:dyDescent="0.3">
      <c r="A158" s="696" t="s">
        <v>505</v>
      </c>
      <c r="B158" s="697" t="s">
        <v>506</v>
      </c>
      <c r="C158" s="698" t="s">
        <v>519</v>
      </c>
      <c r="D158" s="699" t="s">
        <v>520</v>
      </c>
      <c r="E158" s="700">
        <v>50113001</v>
      </c>
      <c r="F158" s="699" t="s">
        <v>524</v>
      </c>
      <c r="G158" s="698" t="s">
        <v>525</v>
      </c>
      <c r="H158" s="698">
        <v>158249</v>
      </c>
      <c r="I158" s="698">
        <v>58249</v>
      </c>
      <c r="J158" s="698" t="s">
        <v>801</v>
      </c>
      <c r="K158" s="698" t="s">
        <v>507</v>
      </c>
      <c r="L158" s="701">
        <v>202.44000000000005</v>
      </c>
      <c r="M158" s="701">
        <v>1</v>
      </c>
      <c r="N158" s="702">
        <v>202.44000000000005</v>
      </c>
    </row>
    <row r="159" spans="1:14" ht="14.4" customHeight="1" x14ac:dyDescent="0.3">
      <c r="A159" s="696" t="s">
        <v>505</v>
      </c>
      <c r="B159" s="697" t="s">
        <v>506</v>
      </c>
      <c r="C159" s="698" t="s">
        <v>519</v>
      </c>
      <c r="D159" s="699" t="s">
        <v>520</v>
      </c>
      <c r="E159" s="700">
        <v>50113001</v>
      </c>
      <c r="F159" s="699" t="s">
        <v>524</v>
      </c>
      <c r="G159" s="698" t="s">
        <v>525</v>
      </c>
      <c r="H159" s="698">
        <v>106091</v>
      </c>
      <c r="I159" s="698">
        <v>6091</v>
      </c>
      <c r="J159" s="698" t="s">
        <v>802</v>
      </c>
      <c r="K159" s="698" t="s">
        <v>803</v>
      </c>
      <c r="L159" s="701">
        <v>88.972727272727283</v>
      </c>
      <c r="M159" s="701">
        <v>11</v>
      </c>
      <c r="N159" s="702">
        <v>978.7</v>
      </c>
    </row>
    <row r="160" spans="1:14" ht="14.4" customHeight="1" x14ac:dyDescent="0.3">
      <c r="A160" s="696" t="s">
        <v>505</v>
      </c>
      <c r="B160" s="697" t="s">
        <v>506</v>
      </c>
      <c r="C160" s="698" t="s">
        <v>519</v>
      </c>
      <c r="D160" s="699" t="s">
        <v>520</v>
      </c>
      <c r="E160" s="700">
        <v>50113001</v>
      </c>
      <c r="F160" s="699" t="s">
        <v>524</v>
      </c>
      <c r="G160" s="698" t="s">
        <v>525</v>
      </c>
      <c r="H160" s="698">
        <v>106093</v>
      </c>
      <c r="I160" s="698">
        <v>6093</v>
      </c>
      <c r="J160" s="698" t="s">
        <v>802</v>
      </c>
      <c r="K160" s="698" t="s">
        <v>804</v>
      </c>
      <c r="L160" s="701">
        <v>171.63999999999996</v>
      </c>
      <c r="M160" s="701">
        <v>1</v>
      </c>
      <c r="N160" s="702">
        <v>171.63999999999996</v>
      </c>
    </row>
    <row r="161" spans="1:14" ht="14.4" customHeight="1" x14ac:dyDescent="0.3">
      <c r="A161" s="696" t="s">
        <v>505</v>
      </c>
      <c r="B161" s="697" t="s">
        <v>506</v>
      </c>
      <c r="C161" s="698" t="s">
        <v>519</v>
      </c>
      <c r="D161" s="699" t="s">
        <v>520</v>
      </c>
      <c r="E161" s="700">
        <v>50113001</v>
      </c>
      <c r="F161" s="699" t="s">
        <v>524</v>
      </c>
      <c r="G161" s="698" t="s">
        <v>525</v>
      </c>
      <c r="H161" s="698">
        <v>106092</v>
      </c>
      <c r="I161" s="698">
        <v>6092</v>
      </c>
      <c r="J161" s="698" t="s">
        <v>805</v>
      </c>
      <c r="K161" s="698" t="s">
        <v>806</v>
      </c>
      <c r="L161" s="701">
        <v>280.48</v>
      </c>
      <c r="M161" s="701">
        <v>1</v>
      </c>
      <c r="N161" s="702">
        <v>280.48</v>
      </c>
    </row>
    <row r="162" spans="1:14" ht="14.4" customHeight="1" x14ac:dyDescent="0.3">
      <c r="A162" s="696" t="s">
        <v>505</v>
      </c>
      <c r="B162" s="697" t="s">
        <v>506</v>
      </c>
      <c r="C162" s="698" t="s">
        <v>519</v>
      </c>
      <c r="D162" s="699" t="s">
        <v>520</v>
      </c>
      <c r="E162" s="700">
        <v>50113001</v>
      </c>
      <c r="F162" s="699" t="s">
        <v>524</v>
      </c>
      <c r="G162" s="698" t="s">
        <v>525</v>
      </c>
      <c r="H162" s="698">
        <v>223136</v>
      </c>
      <c r="I162" s="698">
        <v>223136</v>
      </c>
      <c r="J162" s="698" t="s">
        <v>807</v>
      </c>
      <c r="K162" s="698" t="s">
        <v>808</v>
      </c>
      <c r="L162" s="701">
        <v>79.23</v>
      </c>
      <c r="M162" s="701">
        <v>1</v>
      </c>
      <c r="N162" s="702">
        <v>79.23</v>
      </c>
    </row>
    <row r="163" spans="1:14" ht="14.4" customHeight="1" x14ac:dyDescent="0.3">
      <c r="A163" s="696" t="s">
        <v>505</v>
      </c>
      <c r="B163" s="697" t="s">
        <v>506</v>
      </c>
      <c r="C163" s="698" t="s">
        <v>519</v>
      </c>
      <c r="D163" s="699" t="s">
        <v>520</v>
      </c>
      <c r="E163" s="700">
        <v>50113001</v>
      </c>
      <c r="F163" s="699" t="s">
        <v>524</v>
      </c>
      <c r="G163" s="698" t="s">
        <v>525</v>
      </c>
      <c r="H163" s="698">
        <v>102537</v>
      </c>
      <c r="I163" s="698">
        <v>2537</v>
      </c>
      <c r="J163" s="698" t="s">
        <v>809</v>
      </c>
      <c r="K163" s="698" t="s">
        <v>810</v>
      </c>
      <c r="L163" s="701">
        <v>38.350000000000016</v>
      </c>
      <c r="M163" s="701">
        <v>1</v>
      </c>
      <c r="N163" s="702">
        <v>38.350000000000016</v>
      </c>
    </row>
    <row r="164" spans="1:14" ht="14.4" customHeight="1" x14ac:dyDescent="0.3">
      <c r="A164" s="696" t="s">
        <v>505</v>
      </c>
      <c r="B164" s="697" t="s">
        <v>506</v>
      </c>
      <c r="C164" s="698" t="s">
        <v>519</v>
      </c>
      <c r="D164" s="699" t="s">
        <v>520</v>
      </c>
      <c r="E164" s="700">
        <v>50113001</v>
      </c>
      <c r="F164" s="699" t="s">
        <v>524</v>
      </c>
      <c r="G164" s="698" t="s">
        <v>525</v>
      </c>
      <c r="H164" s="698">
        <v>102538</v>
      </c>
      <c r="I164" s="698">
        <v>2538</v>
      </c>
      <c r="J164" s="698" t="s">
        <v>809</v>
      </c>
      <c r="K164" s="698" t="s">
        <v>811</v>
      </c>
      <c r="L164" s="701">
        <v>55.510169491525424</v>
      </c>
      <c r="M164" s="701">
        <v>59</v>
      </c>
      <c r="N164" s="702">
        <v>3275.1</v>
      </c>
    </row>
    <row r="165" spans="1:14" ht="14.4" customHeight="1" x14ac:dyDescent="0.3">
      <c r="A165" s="696" t="s">
        <v>505</v>
      </c>
      <c r="B165" s="697" t="s">
        <v>506</v>
      </c>
      <c r="C165" s="698" t="s">
        <v>519</v>
      </c>
      <c r="D165" s="699" t="s">
        <v>520</v>
      </c>
      <c r="E165" s="700">
        <v>50113001</v>
      </c>
      <c r="F165" s="699" t="s">
        <v>524</v>
      </c>
      <c r="G165" s="698" t="s">
        <v>525</v>
      </c>
      <c r="H165" s="698">
        <v>125366</v>
      </c>
      <c r="I165" s="698">
        <v>25366</v>
      </c>
      <c r="J165" s="698" t="s">
        <v>812</v>
      </c>
      <c r="K165" s="698" t="s">
        <v>813</v>
      </c>
      <c r="L165" s="701">
        <v>72.25333333333333</v>
      </c>
      <c r="M165" s="701">
        <v>3</v>
      </c>
      <c r="N165" s="702">
        <v>216.76</v>
      </c>
    </row>
    <row r="166" spans="1:14" ht="14.4" customHeight="1" x14ac:dyDescent="0.3">
      <c r="A166" s="696" t="s">
        <v>505</v>
      </c>
      <c r="B166" s="697" t="s">
        <v>506</v>
      </c>
      <c r="C166" s="698" t="s">
        <v>519</v>
      </c>
      <c r="D166" s="699" t="s">
        <v>520</v>
      </c>
      <c r="E166" s="700">
        <v>50113001</v>
      </c>
      <c r="F166" s="699" t="s">
        <v>524</v>
      </c>
      <c r="G166" s="698" t="s">
        <v>525</v>
      </c>
      <c r="H166" s="698">
        <v>215605</v>
      </c>
      <c r="I166" s="698">
        <v>215605</v>
      </c>
      <c r="J166" s="698" t="s">
        <v>812</v>
      </c>
      <c r="K166" s="698" t="s">
        <v>814</v>
      </c>
      <c r="L166" s="701">
        <v>28.270000000000007</v>
      </c>
      <c r="M166" s="701">
        <v>1</v>
      </c>
      <c r="N166" s="702">
        <v>28.270000000000007</v>
      </c>
    </row>
    <row r="167" spans="1:14" ht="14.4" customHeight="1" x14ac:dyDescent="0.3">
      <c r="A167" s="696" t="s">
        <v>505</v>
      </c>
      <c r="B167" s="697" t="s">
        <v>506</v>
      </c>
      <c r="C167" s="698" t="s">
        <v>519</v>
      </c>
      <c r="D167" s="699" t="s">
        <v>520</v>
      </c>
      <c r="E167" s="700">
        <v>50113001</v>
      </c>
      <c r="F167" s="699" t="s">
        <v>524</v>
      </c>
      <c r="G167" s="698" t="s">
        <v>525</v>
      </c>
      <c r="H167" s="698">
        <v>215606</v>
      </c>
      <c r="I167" s="698">
        <v>215606</v>
      </c>
      <c r="J167" s="698" t="s">
        <v>812</v>
      </c>
      <c r="K167" s="698" t="s">
        <v>813</v>
      </c>
      <c r="L167" s="701">
        <v>72.02000000000001</v>
      </c>
      <c r="M167" s="701">
        <v>2</v>
      </c>
      <c r="N167" s="702">
        <v>144.04000000000002</v>
      </c>
    </row>
    <row r="168" spans="1:14" ht="14.4" customHeight="1" x14ac:dyDescent="0.3">
      <c r="A168" s="696" t="s">
        <v>505</v>
      </c>
      <c r="B168" s="697" t="s">
        <v>506</v>
      </c>
      <c r="C168" s="698" t="s">
        <v>519</v>
      </c>
      <c r="D168" s="699" t="s">
        <v>520</v>
      </c>
      <c r="E168" s="700">
        <v>50113001</v>
      </c>
      <c r="F168" s="699" t="s">
        <v>524</v>
      </c>
      <c r="G168" s="698" t="s">
        <v>525</v>
      </c>
      <c r="H168" s="698">
        <v>193746</v>
      </c>
      <c r="I168" s="698">
        <v>93746</v>
      </c>
      <c r="J168" s="698" t="s">
        <v>815</v>
      </c>
      <c r="K168" s="698" t="s">
        <v>816</v>
      </c>
      <c r="L168" s="701">
        <v>369.29695652173922</v>
      </c>
      <c r="M168" s="701">
        <v>46</v>
      </c>
      <c r="N168" s="702">
        <v>16987.660000000003</v>
      </c>
    </row>
    <row r="169" spans="1:14" ht="14.4" customHeight="1" x14ac:dyDescent="0.3">
      <c r="A169" s="696" t="s">
        <v>505</v>
      </c>
      <c r="B169" s="697" t="s">
        <v>506</v>
      </c>
      <c r="C169" s="698" t="s">
        <v>519</v>
      </c>
      <c r="D169" s="699" t="s">
        <v>520</v>
      </c>
      <c r="E169" s="700">
        <v>50113001</v>
      </c>
      <c r="F169" s="699" t="s">
        <v>524</v>
      </c>
      <c r="G169" s="698" t="s">
        <v>507</v>
      </c>
      <c r="H169" s="698">
        <v>103575</v>
      </c>
      <c r="I169" s="698">
        <v>3575</v>
      </c>
      <c r="J169" s="698" t="s">
        <v>817</v>
      </c>
      <c r="K169" s="698" t="s">
        <v>818</v>
      </c>
      <c r="L169" s="701">
        <v>67.524102564102577</v>
      </c>
      <c r="M169" s="701">
        <v>39</v>
      </c>
      <c r="N169" s="702">
        <v>2633.4400000000005</v>
      </c>
    </row>
    <row r="170" spans="1:14" ht="14.4" customHeight="1" x14ac:dyDescent="0.3">
      <c r="A170" s="696" t="s">
        <v>505</v>
      </c>
      <c r="B170" s="697" t="s">
        <v>506</v>
      </c>
      <c r="C170" s="698" t="s">
        <v>519</v>
      </c>
      <c r="D170" s="699" t="s">
        <v>520</v>
      </c>
      <c r="E170" s="700">
        <v>50113001</v>
      </c>
      <c r="F170" s="699" t="s">
        <v>524</v>
      </c>
      <c r="G170" s="698" t="s">
        <v>525</v>
      </c>
      <c r="H170" s="698">
        <v>849045</v>
      </c>
      <c r="I170" s="698">
        <v>155938</v>
      </c>
      <c r="J170" s="698" t="s">
        <v>819</v>
      </c>
      <c r="K170" s="698" t="s">
        <v>820</v>
      </c>
      <c r="L170" s="701">
        <v>179.81666666666663</v>
      </c>
      <c r="M170" s="701">
        <v>3</v>
      </c>
      <c r="N170" s="702">
        <v>539.44999999999993</v>
      </c>
    </row>
    <row r="171" spans="1:14" ht="14.4" customHeight="1" x14ac:dyDescent="0.3">
      <c r="A171" s="696" t="s">
        <v>505</v>
      </c>
      <c r="B171" s="697" t="s">
        <v>506</v>
      </c>
      <c r="C171" s="698" t="s">
        <v>519</v>
      </c>
      <c r="D171" s="699" t="s">
        <v>520</v>
      </c>
      <c r="E171" s="700">
        <v>50113001</v>
      </c>
      <c r="F171" s="699" t="s">
        <v>524</v>
      </c>
      <c r="G171" s="698" t="s">
        <v>507</v>
      </c>
      <c r="H171" s="698">
        <v>155939</v>
      </c>
      <c r="I171" s="698">
        <v>155939</v>
      </c>
      <c r="J171" s="698" t="s">
        <v>821</v>
      </c>
      <c r="K171" s="698" t="s">
        <v>822</v>
      </c>
      <c r="L171" s="701">
        <v>590.43999999999994</v>
      </c>
      <c r="M171" s="701">
        <v>1</v>
      </c>
      <c r="N171" s="702">
        <v>590.43999999999994</v>
      </c>
    </row>
    <row r="172" spans="1:14" ht="14.4" customHeight="1" x14ac:dyDescent="0.3">
      <c r="A172" s="696" t="s">
        <v>505</v>
      </c>
      <c r="B172" s="697" t="s">
        <v>506</v>
      </c>
      <c r="C172" s="698" t="s">
        <v>519</v>
      </c>
      <c r="D172" s="699" t="s">
        <v>520</v>
      </c>
      <c r="E172" s="700">
        <v>50113001</v>
      </c>
      <c r="F172" s="699" t="s">
        <v>524</v>
      </c>
      <c r="G172" s="698" t="s">
        <v>546</v>
      </c>
      <c r="H172" s="698">
        <v>216670</v>
      </c>
      <c r="I172" s="698">
        <v>216670</v>
      </c>
      <c r="J172" s="698" t="s">
        <v>823</v>
      </c>
      <c r="K172" s="698" t="s">
        <v>824</v>
      </c>
      <c r="L172" s="701">
        <v>314.27</v>
      </c>
      <c r="M172" s="701">
        <v>5</v>
      </c>
      <c r="N172" s="702">
        <v>1571.35</v>
      </c>
    </row>
    <row r="173" spans="1:14" ht="14.4" customHeight="1" x14ac:dyDescent="0.3">
      <c r="A173" s="696" t="s">
        <v>505</v>
      </c>
      <c r="B173" s="697" t="s">
        <v>506</v>
      </c>
      <c r="C173" s="698" t="s">
        <v>519</v>
      </c>
      <c r="D173" s="699" t="s">
        <v>520</v>
      </c>
      <c r="E173" s="700">
        <v>50113001</v>
      </c>
      <c r="F173" s="699" t="s">
        <v>524</v>
      </c>
      <c r="G173" s="698" t="s">
        <v>507</v>
      </c>
      <c r="H173" s="698">
        <v>216572</v>
      </c>
      <c r="I173" s="698">
        <v>216572</v>
      </c>
      <c r="J173" s="698" t="s">
        <v>825</v>
      </c>
      <c r="K173" s="698" t="s">
        <v>826</v>
      </c>
      <c r="L173" s="701">
        <v>36.285392038600712</v>
      </c>
      <c r="M173" s="701">
        <v>829</v>
      </c>
      <c r="N173" s="702">
        <v>30080.589999999989</v>
      </c>
    </row>
    <row r="174" spans="1:14" ht="14.4" customHeight="1" x14ac:dyDescent="0.3">
      <c r="A174" s="696" t="s">
        <v>505</v>
      </c>
      <c r="B174" s="697" t="s">
        <v>506</v>
      </c>
      <c r="C174" s="698" t="s">
        <v>519</v>
      </c>
      <c r="D174" s="699" t="s">
        <v>520</v>
      </c>
      <c r="E174" s="700">
        <v>50113001</v>
      </c>
      <c r="F174" s="699" t="s">
        <v>524</v>
      </c>
      <c r="G174" s="698" t="s">
        <v>525</v>
      </c>
      <c r="H174" s="698">
        <v>223200</v>
      </c>
      <c r="I174" s="698">
        <v>223200</v>
      </c>
      <c r="J174" s="698" t="s">
        <v>827</v>
      </c>
      <c r="K174" s="698" t="s">
        <v>828</v>
      </c>
      <c r="L174" s="701">
        <v>143.31499414430317</v>
      </c>
      <c r="M174" s="701">
        <v>2</v>
      </c>
      <c r="N174" s="702">
        <v>286.62998828860634</v>
      </c>
    </row>
    <row r="175" spans="1:14" ht="14.4" customHeight="1" x14ac:dyDescent="0.3">
      <c r="A175" s="696" t="s">
        <v>505</v>
      </c>
      <c r="B175" s="697" t="s">
        <v>506</v>
      </c>
      <c r="C175" s="698" t="s">
        <v>519</v>
      </c>
      <c r="D175" s="699" t="s">
        <v>520</v>
      </c>
      <c r="E175" s="700">
        <v>50113001</v>
      </c>
      <c r="F175" s="699" t="s">
        <v>524</v>
      </c>
      <c r="G175" s="698" t="s">
        <v>525</v>
      </c>
      <c r="H175" s="698">
        <v>109159</v>
      </c>
      <c r="I175" s="698">
        <v>9159</v>
      </c>
      <c r="J175" s="698" t="s">
        <v>827</v>
      </c>
      <c r="K175" s="698" t="s">
        <v>828</v>
      </c>
      <c r="L175" s="701">
        <v>143.32</v>
      </c>
      <c r="M175" s="701">
        <v>2</v>
      </c>
      <c r="N175" s="702">
        <v>286.64</v>
      </c>
    </row>
    <row r="176" spans="1:14" ht="14.4" customHeight="1" x14ac:dyDescent="0.3">
      <c r="A176" s="696" t="s">
        <v>505</v>
      </c>
      <c r="B176" s="697" t="s">
        <v>506</v>
      </c>
      <c r="C176" s="698" t="s">
        <v>519</v>
      </c>
      <c r="D176" s="699" t="s">
        <v>520</v>
      </c>
      <c r="E176" s="700">
        <v>50113001</v>
      </c>
      <c r="F176" s="699" t="s">
        <v>524</v>
      </c>
      <c r="G176" s="698" t="s">
        <v>525</v>
      </c>
      <c r="H176" s="698">
        <v>104344</v>
      </c>
      <c r="I176" s="698">
        <v>4344</v>
      </c>
      <c r="J176" s="698" t="s">
        <v>829</v>
      </c>
      <c r="K176" s="698" t="s">
        <v>830</v>
      </c>
      <c r="L176" s="701">
        <v>93.870000000000019</v>
      </c>
      <c r="M176" s="701">
        <v>5</v>
      </c>
      <c r="N176" s="702">
        <v>469.35000000000008</v>
      </c>
    </row>
    <row r="177" spans="1:14" ht="14.4" customHeight="1" x14ac:dyDescent="0.3">
      <c r="A177" s="696" t="s">
        <v>505</v>
      </c>
      <c r="B177" s="697" t="s">
        <v>506</v>
      </c>
      <c r="C177" s="698" t="s">
        <v>519</v>
      </c>
      <c r="D177" s="699" t="s">
        <v>520</v>
      </c>
      <c r="E177" s="700">
        <v>50113001</v>
      </c>
      <c r="F177" s="699" t="s">
        <v>524</v>
      </c>
      <c r="G177" s="698" t="s">
        <v>525</v>
      </c>
      <c r="H177" s="698">
        <v>842703</v>
      </c>
      <c r="I177" s="698">
        <v>0</v>
      </c>
      <c r="J177" s="698" t="s">
        <v>831</v>
      </c>
      <c r="K177" s="698" t="s">
        <v>507</v>
      </c>
      <c r="L177" s="701">
        <v>58.347633587786277</v>
      </c>
      <c r="M177" s="701">
        <v>262</v>
      </c>
      <c r="N177" s="702">
        <v>15287.080000000004</v>
      </c>
    </row>
    <row r="178" spans="1:14" ht="14.4" customHeight="1" x14ac:dyDescent="0.3">
      <c r="A178" s="696" t="s">
        <v>505</v>
      </c>
      <c r="B178" s="697" t="s">
        <v>506</v>
      </c>
      <c r="C178" s="698" t="s">
        <v>519</v>
      </c>
      <c r="D178" s="699" t="s">
        <v>520</v>
      </c>
      <c r="E178" s="700">
        <v>50113001</v>
      </c>
      <c r="F178" s="699" t="s">
        <v>524</v>
      </c>
      <c r="G178" s="698" t="s">
        <v>525</v>
      </c>
      <c r="H178" s="698">
        <v>51366</v>
      </c>
      <c r="I178" s="698">
        <v>51366</v>
      </c>
      <c r="J178" s="698" t="s">
        <v>832</v>
      </c>
      <c r="K178" s="698" t="s">
        <v>833</v>
      </c>
      <c r="L178" s="701">
        <v>176.88170212765954</v>
      </c>
      <c r="M178" s="701">
        <v>141</v>
      </c>
      <c r="N178" s="702">
        <v>24940.319999999996</v>
      </c>
    </row>
    <row r="179" spans="1:14" ht="14.4" customHeight="1" x14ac:dyDescent="0.3">
      <c r="A179" s="696" t="s">
        <v>505</v>
      </c>
      <c r="B179" s="697" t="s">
        <v>506</v>
      </c>
      <c r="C179" s="698" t="s">
        <v>519</v>
      </c>
      <c r="D179" s="699" t="s">
        <v>520</v>
      </c>
      <c r="E179" s="700">
        <v>50113001</v>
      </c>
      <c r="F179" s="699" t="s">
        <v>524</v>
      </c>
      <c r="G179" s="698" t="s">
        <v>525</v>
      </c>
      <c r="H179" s="698">
        <v>51384</v>
      </c>
      <c r="I179" s="698">
        <v>51384</v>
      </c>
      <c r="J179" s="698" t="s">
        <v>832</v>
      </c>
      <c r="K179" s="698" t="s">
        <v>834</v>
      </c>
      <c r="L179" s="701">
        <v>192.5</v>
      </c>
      <c r="M179" s="701">
        <v>46</v>
      </c>
      <c r="N179" s="702">
        <v>8855</v>
      </c>
    </row>
    <row r="180" spans="1:14" ht="14.4" customHeight="1" x14ac:dyDescent="0.3">
      <c r="A180" s="696" t="s">
        <v>505</v>
      </c>
      <c r="B180" s="697" t="s">
        <v>506</v>
      </c>
      <c r="C180" s="698" t="s">
        <v>519</v>
      </c>
      <c r="D180" s="699" t="s">
        <v>520</v>
      </c>
      <c r="E180" s="700">
        <v>50113001</v>
      </c>
      <c r="F180" s="699" t="s">
        <v>524</v>
      </c>
      <c r="G180" s="698" t="s">
        <v>525</v>
      </c>
      <c r="H180" s="698">
        <v>51383</v>
      </c>
      <c r="I180" s="698">
        <v>51383</v>
      </c>
      <c r="J180" s="698" t="s">
        <v>832</v>
      </c>
      <c r="K180" s="698" t="s">
        <v>835</v>
      </c>
      <c r="L180" s="701">
        <v>93.5</v>
      </c>
      <c r="M180" s="701">
        <v>255</v>
      </c>
      <c r="N180" s="702">
        <v>23842.5</v>
      </c>
    </row>
    <row r="181" spans="1:14" ht="14.4" customHeight="1" x14ac:dyDescent="0.3">
      <c r="A181" s="696" t="s">
        <v>505</v>
      </c>
      <c r="B181" s="697" t="s">
        <v>506</v>
      </c>
      <c r="C181" s="698" t="s">
        <v>519</v>
      </c>
      <c r="D181" s="699" t="s">
        <v>520</v>
      </c>
      <c r="E181" s="700">
        <v>50113001</v>
      </c>
      <c r="F181" s="699" t="s">
        <v>524</v>
      </c>
      <c r="G181" s="698" t="s">
        <v>525</v>
      </c>
      <c r="H181" s="698">
        <v>51367</v>
      </c>
      <c r="I181" s="698">
        <v>51367</v>
      </c>
      <c r="J181" s="698" t="s">
        <v>832</v>
      </c>
      <c r="K181" s="698" t="s">
        <v>836</v>
      </c>
      <c r="L181" s="701">
        <v>92.950000000000017</v>
      </c>
      <c r="M181" s="701">
        <v>376</v>
      </c>
      <c r="N181" s="702">
        <v>34949.200000000004</v>
      </c>
    </row>
    <row r="182" spans="1:14" ht="14.4" customHeight="1" x14ac:dyDescent="0.3">
      <c r="A182" s="696" t="s">
        <v>505</v>
      </c>
      <c r="B182" s="697" t="s">
        <v>506</v>
      </c>
      <c r="C182" s="698" t="s">
        <v>519</v>
      </c>
      <c r="D182" s="699" t="s">
        <v>520</v>
      </c>
      <c r="E182" s="700">
        <v>50113001</v>
      </c>
      <c r="F182" s="699" t="s">
        <v>524</v>
      </c>
      <c r="G182" s="698" t="s">
        <v>525</v>
      </c>
      <c r="H182" s="698">
        <v>132082</v>
      </c>
      <c r="I182" s="698">
        <v>32082</v>
      </c>
      <c r="J182" s="698" t="s">
        <v>837</v>
      </c>
      <c r="K182" s="698" t="s">
        <v>838</v>
      </c>
      <c r="L182" s="701">
        <v>82.149999999999991</v>
      </c>
      <c r="M182" s="701">
        <v>1</v>
      </c>
      <c r="N182" s="702">
        <v>82.149999999999991</v>
      </c>
    </row>
    <row r="183" spans="1:14" ht="14.4" customHeight="1" x14ac:dyDescent="0.3">
      <c r="A183" s="696" t="s">
        <v>505</v>
      </c>
      <c r="B183" s="697" t="s">
        <v>506</v>
      </c>
      <c r="C183" s="698" t="s">
        <v>519</v>
      </c>
      <c r="D183" s="699" t="s">
        <v>520</v>
      </c>
      <c r="E183" s="700">
        <v>50113001</v>
      </c>
      <c r="F183" s="699" t="s">
        <v>524</v>
      </c>
      <c r="G183" s="698" t="s">
        <v>525</v>
      </c>
      <c r="H183" s="698">
        <v>208988</v>
      </c>
      <c r="I183" s="698">
        <v>208988</v>
      </c>
      <c r="J183" s="698" t="s">
        <v>839</v>
      </c>
      <c r="K183" s="698" t="s">
        <v>840</v>
      </c>
      <c r="L183" s="701">
        <v>539</v>
      </c>
      <c r="M183" s="701">
        <v>17</v>
      </c>
      <c r="N183" s="702">
        <v>9163</v>
      </c>
    </row>
    <row r="184" spans="1:14" ht="14.4" customHeight="1" x14ac:dyDescent="0.3">
      <c r="A184" s="696" t="s">
        <v>505</v>
      </c>
      <c r="B184" s="697" t="s">
        <v>506</v>
      </c>
      <c r="C184" s="698" t="s">
        <v>519</v>
      </c>
      <c r="D184" s="699" t="s">
        <v>520</v>
      </c>
      <c r="E184" s="700">
        <v>50113001</v>
      </c>
      <c r="F184" s="699" t="s">
        <v>524</v>
      </c>
      <c r="G184" s="698" t="s">
        <v>525</v>
      </c>
      <c r="H184" s="698">
        <v>208990</v>
      </c>
      <c r="I184" s="698">
        <v>208990</v>
      </c>
      <c r="J184" s="698" t="s">
        <v>841</v>
      </c>
      <c r="K184" s="698" t="s">
        <v>840</v>
      </c>
      <c r="L184" s="701">
        <v>649</v>
      </c>
      <c r="M184" s="701">
        <v>16</v>
      </c>
      <c r="N184" s="702">
        <v>10384</v>
      </c>
    </row>
    <row r="185" spans="1:14" ht="14.4" customHeight="1" x14ac:dyDescent="0.3">
      <c r="A185" s="696" t="s">
        <v>505</v>
      </c>
      <c r="B185" s="697" t="s">
        <v>506</v>
      </c>
      <c r="C185" s="698" t="s">
        <v>519</v>
      </c>
      <c r="D185" s="699" t="s">
        <v>520</v>
      </c>
      <c r="E185" s="700">
        <v>50113001</v>
      </c>
      <c r="F185" s="699" t="s">
        <v>524</v>
      </c>
      <c r="G185" s="698" t="s">
        <v>525</v>
      </c>
      <c r="H185" s="698">
        <v>225166</v>
      </c>
      <c r="I185" s="698">
        <v>225166</v>
      </c>
      <c r="J185" s="698" t="s">
        <v>842</v>
      </c>
      <c r="K185" s="698" t="s">
        <v>843</v>
      </c>
      <c r="L185" s="701">
        <v>58.369999999999969</v>
      </c>
      <c r="M185" s="701">
        <v>6</v>
      </c>
      <c r="N185" s="702">
        <v>350.2199999999998</v>
      </c>
    </row>
    <row r="186" spans="1:14" ht="14.4" customHeight="1" x14ac:dyDescent="0.3">
      <c r="A186" s="696" t="s">
        <v>505</v>
      </c>
      <c r="B186" s="697" t="s">
        <v>506</v>
      </c>
      <c r="C186" s="698" t="s">
        <v>519</v>
      </c>
      <c r="D186" s="699" t="s">
        <v>520</v>
      </c>
      <c r="E186" s="700">
        <v>50113001</v>
      </c>
      <c r="F186" s="699" t="s">
        <v>524</v>
      </c>
      <c r="G186" s="698" t="s">
        <v>525</v>
      </c>
      <c r="H186" s="698">
        <v>224964</v>
      </c>
      <c r="I186" s="698">
        <v>224964</v>
      </c>
      <c r="J186" s="698" t="s">
        <v>844</v>
      </c>
      <c r="K186" s="698" t="s">
        <v>845</v>
      </c>
      <c r="L186" s="701">
        <v>107.86999999999999</v>
      </c>
      <c r="M186" s="701">
        <v>30</v>
      </c>
      <c r="N186" s="702">
        <v>3236.1</v>
      </c>
    </row>
    <row r="187" spans="1:14" ht="14.4" customHeight="1" x14ac:dyDescent="0.3">
      <c r="A187" s="696" t="s">
        <v>505</v>
      </c>
      <c r="B187" s="697" t="s">
        <v>506</v>
      </c>
      <c r="C187" s="698" t="s">
        <v>519</v>
      </c>
      <c r="D187" s="699" t="s">
        <v>520</v>
      </c>
      <c r="E187" s="700">
        <v>50113001</v>
      </c>
      <c r="F187" s="699" t="s">
        <v>524</v>
      </c>
      <c r="G187" s="698" t="s">
        <v>525</v>
      </c>
      <c r="H187" s="698">
        <v>187299</v>
      </c>
      <c r="I187" s="698">
        <v>87299</v>
      </c>
      <c r="J187" s="698" t="s">
        <v>846</v>
      </c>
      <c r="K187" s="698" t="s">
        <v>847</v>
      </c>
      <c r="L187" s="701">
        <v>1013.6700000000001</v>
      </c>
      <c r="M187" s="701">
        <v>11</v>
      </c>
      <c r="N187" s="702">
        <v>11150.37</v>
      </c>
    </row>
    <row r="188" spans="1:14" ht="14.4" customHeight="1" x14ac:dyDescent="0.3">
      <c r="A188" s="696" t="s">
        <v>505</v>
      </c>
      <c r="B188" s="697" t="s">
        <v>506</v>
      </c>
      <c r="C188" s="698" t="s">
        <v>519</v>
      </c>
      <c r="D188" s="699" t="s">
        <v>520</v>
      </c>
      <c r="E188" s="700">
        <v>50113001</v>
      </c>
      <c r="F188" s="699" t="s">
        <v>524</v>
      </c>
      <c r="G188" s="698" t="s">
        <v>525</v>
      </c>
      <c r="H188" s="698">
        <v>196696</v>
      </c>
      <c r="I188" s="698">
        <v>96696</v>
      </c>
      <c r="J188" s="698" t="s">
        <v>848</v>
      </c>
      <c r="K188" s="698" t="s">
        <v>849</v>
      </c>
      <c r="L188" s="701">
        <v>46.659999999999975</v>
      </c>
      <c r="M188" s="701">
        <v>1</v>
      </c>
      <c r="N188" s="702">
        <v>46.659999999999975</v>
      </c>
    </row>
    <row r="189" spans="1:14" ht="14.4" customHeight="1" x14ac:dyDescent="0.3">
      <c r="A189" s="696" t="s">
        <v>505</v>
      </c>
      <c r="B189" s="697" t="s">
        <v>506</v>
      </c>
      <c r="C189" s="698" t="s">
        <v>519</v>
      </c>
      <c r="D189" s="699" t="s">
        <v>520</v>
      </c>
      <c r="E189" s="700">
        <v>50113001</v>
      </c>
      <c r="F189" s="699" t="s">
        <v>524</v>
      </c>
      <c r="G189" s="698" t="s">
        <v>525</v>
      </c>
      <c r="H189" s="698">
        <v>193724</v>
      </c>
      <c r="I189" s="698">
        <v>93724</v>
      </c>
      <c r="J189" s="698" t="s">
        <v>850</v>
      </c>
      <c r="K189" s="698" t="s">
        <v>851</v>
      </c>
      <c r="L189" s="701">
        <v>68.322499999999991</v>
      </c>
      <c r="M189" s="701">
        <v>4</v>
      </c>
      <c r="N189" s="702">
        <v>273.28999999999996</v>
      </c>
    </row>
    <row r="190" spans="1:14" ht="14.4" customHeight="1" x14ac:dyDescent="0.3">
      <c r="A190" s="696" t="s">
        <v>505</v>
      </c>
      <c r="B190" s="697" t="s">
        <v>506</v>
      </c>
      <c r="C190" s="698" t="s">
        <v>519</v>
      </c>
      <c r="D190" s="699" t="s">
        <v>520</v>
      </c>
      <c r="E190" s="700">
        <v>50113001</v>
      </c>
      <c r="F190" s="699" t="s">
        <v>524</v>
      </c>
      <c r="G190" s="698" t="s">
        <v>525</v>
      </c>
      <c r="H190" s="698">
        <v>193723</v>
      </c>
      <c r="I190" s="698">
        <v>93723</v>
      </c>
      <c r="J190" s="698" t="s">
        <v>852</v>
      </c>
      <c r="K190" s="698" t="s">
        <v>853</v>
      </c>
      <c r="L190" s="701">
        <v>40.273333333333341</v>
      </c>
      <c r="M190" s="701">
        <v>6</v>
      </c>
      <c r="N190" s="702">
        <v>241.64000000000004</v>
      </c>
    </row>
    <row r="191" spans="1:14" ht="14.4" customHeight="1" x14ac:dyDescent="0.3">
      <c r="A191" s="696" t="s">
        <v>505</v>
      </c>
      <c r="B191" s="697" t="s">
        <v>506</v>
      </c>
      <c r="C191" s="698" t="s">
        <v>519</v>
      </c>
      <c r="D191" s="699" t="s">
        <v>520</v>
      </c>
      <c r="E191" s="700">
        <v>50113001</v>
      </c>
      <c r="F191" s="699" t="s">
        <v>524</v>
      </c>
      <c r="G191" s="698" t="s">
        <v>525</v>
      </c>
      <c r="H191" s="698">
        <v>208465</v>
      </c>
      <c r="I191" s="698">
        <v>208465</v>
      </c>
      <c r="J191" s="698" t="s">
        <v>854</v>
      </c>
      <c r="K191" s="698" t="s">
        <v>855</v>
      </c>
      <c r="L191" s="701">
        <v>2234.6499999999996</v>
      </c>
      <c r="M191" s="701">
        <v>1</v>
      </c>
      <c r="N191" s="702">
        <v>2234.6499999999996</v>
      </c>
    </row>
    <row r="192" spans="1:14" ht="14.4" customHeight="1" x14ac:dyDescent="0.3">
      <c r="A192" s="696" t="s">
        <v>505</v>
      </c>
      <c r="B192" s="697" t="s">
        <v>506</v>
      </c>
      <c r="C192" s="698" t="s">
        <v>519</v>
      </c>
      <c r="D192" s="699" t="s">
        <v>520</v>
      </c>
      <c r="E192" s="700">
        <v>50113001</v>
      </c>
      <c r="F192" s="699" t="s">
        <v>524</v>
      </c>
      <c r="G192" s="698" t="s">
        <v>525</v>
      </c>
      <c r="H192" s="698">
        <v>902048</v>
      </c>
      <c r="I192" s="698">
        <v>0</v>
      </c>
      <c r="J192" s="698" t="s">
        <v>856</v>
      </c>
      <c r="K192" s="698" t="s">
        <v>857</v>
      </c>
      <c r="L192" s="701">
        <v>331.2</v>
      </c>
      <c r="M192" s="701">
        <v>187</v>
      </c>
      <c r="N192" s="702">
        <v>61934.400000000001</v>
      </c>
    </row>
    <row r="193" spans="1:14" ht="14.4" customHeight="1" x14ac:dyDescent="0.3">
      <c r="A193" s="696" t="s">
        <v>505</v>
      </c>
      <c r="B193" s="697" t="s">
        <v>506</v>
      </c>
      <c r="C193" s="698" t="s">
        <v>519</v>
      </c>
      <c r="D193" s="699" t="s">
        <v>520</v>
      </c>
      <c r="E193" s="700">
        <v>50113001</v>
      </c>
      <c r="F193" s="699" t="s">
        <v>524</v>
      </c>
      <c r="G193" s="698" t="s">
        <v>525</v>
      </c>
      <c r="H193" s="698">
        <v>501075</v>
      </c>
      <c r="I193" s="698">
        <v>0</v>
      </c>
      <c r="J193" s="698" t="s">
        <v>858</v>
      </c>
      <c r="K193" s="698" t="s">
        <v>859</v>
      </c>
      <c r="L193" s="701">
        <v>95.8</v>
      </c>
      <c r="M193" s="701">
        <v>28</v>
      </c>
      <c r="N193" s="702">
        <v>2682.4</v>
      </c>
    </row>
    <row r="194" spans="1:14" ht="14.4" customHeight="1" x14ac:dyDescent="0.3">
      <c r="A194" s="696" t="s">
        <v>505</v>
      </c>
      <c r="B194" s="697" t="s">
        <v>506</v>
      </c>
      <c r="C194" s="698" t="s">
        <v>519</v>
      </c>
      <c r="D194" s="699" t="s">
        <v>520</v>
      </c>
      <c r="E194" s="700">
        <v>50113001</v>
      </c>
      <c r="F194" s="699" t="s">
        <v>524</v>
      </c>
      <c r="G194" s="698" t="s">
        <v>525</v>
      </c>
      <c r="H194" s="698">
        <v>501387</v>
      </c>
      <c r="I194" s="698">
        <v>0</v>
      </c>
      <c r="J194" s="698" t="s">
        <v>860</v>
      </c>
      <c r="K194" s="698" t="s">
        <v>861</v>
      </c>
      <c r="L194" s="701">
        <v>254.10000000000002</v>
      </c>
      <c r="M194" s="701">
        <v>72</v>
      </c>
      <c r="N194" s="702">
        <v>18295.2</v>
      </c>
    </row>
    <row r="195" spans="1:14" ht="14.4" customHeight="1" x14ac:dyDescent="0.3">
      <c r="A195" s="696" t="s">
        <v>505</v>
      </c>
      <c r="B195" s="697" t="s">
        <v>506</v>
      </c>
      <c r="C195" s="698" t="s">
        <v>519</v>
      </c>
      <c r="D195" s="699" t="s">
        <v>520</v>
      </c>
      <c r="E195" s="700">
        <v>50113001</v>
      </c>
      <c r="F195" s="699" t="s">
        <v>524</v>
      </c>
      <c r="G195" s="698" t="s">
        <v>525</v>
      </c>
      <c r="H195" s="698">
        <v>398077</v>
      </c>
      <c r="I195" s="698">
        <v>0</v>
      </c>
      <c r="J195" s="698" t="s">
        <v>862</v>
      </c>
      <c r="K195" s="698" t="s">
        <v>863</v>
      </c>
      <c r="L195" s="701">
        <v>42.55</v>
      </c>
      <c r="M195" s="701">
        <v>20</v>
      </c>
      <c r="N195" s="702">
        <v>851</v>
      </c>
    </row>
    <row r="196" spans="1:14" ht="14.4" customHeight="1" x14ac:dyDescent="0.3">
      <c r="A196" s="696" t="s">
        <v>505</v>
      </c>
      <c r="B196" s="697" t="s">
        <v>506</v>
      </c>
      <c r="C196" s="698" t="s">
        <v>519</v>
      </c>
      <c r="D196" s="699" t="s">
        <v>520</v>
      </c>
      <c r="E196" s="700">
        <v>50113001</v>
      </c>
      <c r="F196" s="699" t="s">
        <v>524</v>
      </c>
      <c r="G196" s="698" t="s">
        <v>525</v>
      </c>
      <c r="H196" s="698">
        <v>100802</v>
      </c>
      <c r="I196" s="698">
        <v>0</v>
      </c>
      <c r="J196" s="698" t="s">
        <v>864</v>
      </c>
      <c r="K196" s="698" t="s">
        <v>865</v>
      </c>
      <c r="L196" s="701">
        <v>87.539566895000576</v>
      </c>
      <c r="M196" s="701">
        <v>10</v>
      </c>
      <c r="N196" s="702">
        <v>875.39566895000576</v>
      </c>
    </row>
    <row r="197" spans="1:14" ht="14.4" customHeight="1" x14ac:dyDescent="0.3">
      <c r="A197" s="696" t="s">
        <v>505</v>
      </c>
      <c r="B197" s="697" t="s">
        <v>506</v>
      </c>
      <c r="C197" s="698" t="s">
        <v>519</v>
      </c>
      <c r="D197" s="699" t="s">
        <v>520</v>
      </c>
      <c r="E197" s="700">
        <v>50113001</v>
      </c>
      <c r="F197" s="699" t="s">
        <v>524</v>
      </c>
      <c r="G197" s="698" t="s">
        <v>507</v>
      </c>
      <c r="H197" s="698">
        <v>145244</v>
      </c>
      <c r="I197" s="698">
        <v>45244</v>
      </c>
      <c r="J197" s="698" t="s">
        <v>866</v>
      </c>
      <c r="K197" s="698" t="s">
        <v>867</v>
      </c>
      <c r="L197" s="701">
        <v>575.14000000000021</v>
      </c>
      <c r="M197" s="701">
        <v>1</v>
      </c>
      <c r="N197" s="702">
        <v>575.14000000000021</v>
      </c>
    </row>
    <row r="198" spans="1:14" ht="14.4" customHeight="1" x14ac:dyDescent="0.3">
      <c r="A198" s="696" t="s">
        <v>505</v>
      </c>
      <c r="B198" s="697" t="s">
        <v>506</v>
      </c>
      <c r="C198" s="698" t="s">
        <v>519</v>
      </c>
      <c r="D198" s="699" t="s">
        <v>520</v>
      </c>
      <c r="E198" s="700">
        <v>50113001</v>
      </c>
      <c r="F198" s="699" t="s">
        <v>524</v>
      </c>
      <c r="G198" s="698" t="s">
        <v>525</v>
      </c>
      <c r="H198" s="698">
        <v>218183</v>
      </c>
      <c r="I198" s="698">
        <v>218183</v>
      </c>
      <c r="J198" s="698" t="s">
        <v>868</v>
      </c>
      <c r="K198" s="698" t="s">
        <v>869</v>
      </c>
      <c r="L198" s="701">
        <v>567.71428571428555</v>
      </c>
      <c r="M198" s="701">
        <v>7</v>
      </c>
      <c r="N198" s="702">
        <v>3973.9999999999991</v>
      </c>
    </row>
    <row r="199" spans="1:14" ht="14.4" customHeight="1" x14ac:dyDescent="0.3">
      <c r="A199" s="696" t="s">
        <v>505</v>
      </c>
      <c r="B199" s="697" t="s">
        <v>506</v>
      </c>
      <c r="C199" s="698" t="s">
        <v>519</v>
      </c>
      <c r="D199" s="699" t="s">
        <v>520</v>
      </c>
      <c r="E199" s="700">
        <v>50113001</v>
      </c>
      <c r="F199" s="699" t="s">
        <v>524</v>
      </c>
      <c r="G199" s="698" t="s">
        <v>525</v>
      </c>
      <c r="H199" s="698">
        <v>134821</v>
      </c>
      <c r="I199" s="698">
        <v>134821</v>
      </c>
      <c r="J199" s="698" t="s">
        <v>870</v>
      </c>
      <c r="K199" s="698" t="s">
        <v>871</v>
      </c>
      <c r="L199" s="701">
        <v>264.99</v>
      </c>
      <c r="M199" s="701">
        <v>23</v>
      </c>
      <c r="N199" s="702">
        <v>6094.77</v>
      </c>
    </row>
    <row r="200" spans="1:14" ht="14.4" customHeight="1" x14ac:dyDescent="0.3">
      <c r="A200" s="696" t="s">
        <v>505</v>
      </c>
      <c r="B200" s="697" t="s">
        <v>506</v>
      </c>
      <c r="C200" s="698" t="s">
        <v>519</v>
      </c>
      <c r="D200" s="699" t="s">
        <v>520</v>
      </c>
      <c r="E200" s="700">
        <v>50113001</v>
      </c>
      <c r="F200" s="699" t="s">
        <v>524</v>
      </c>
      <c r="G200" s="698" t="s">
        <v>525</v>
      </c>
      <c r="H200" s="698">
        <v>134824</v>
      </c>
      <c r="I200" s="698">
        <v>134824</v>
      </c>
      <c r="J200" s="698" t="s">
        <v>872</v>
      </c>
      <c r="K200" s="698" t="s">
        <v>873</v>
      </c>
      <c r="L200" s="701">
        <v>199.98</v>
      </c>
      <c r="M200" s="701">
        <v>100</v>
      </c>
      <c r="N200" s="702">
        <v>19998</v>
      </c>
    </row>
    <row r="201" spans="1:14" ht="14.4" customHeight="1" x14ac:dyDescent="0.3">
      <c r="A201" s="696" t="s">
        <v>505</v>
      </c>
      <c r="B201" s="697" t="s">
        <v>506</v>
      </c>
      <c r="C201" s="698" t="s">
        <v>519</v>
      </c>
      <c r="D201" s="699" t="s">
        <v>520</v>
      </c>
      <c r="E201" s="700">
        <v>50113001</v>
      </c>
      <c r="F201" s="699" t="s">
        <v>524</v>
      </c>
      <c r="G201" s="698" t="s">
        <v>525</v>
      </c>
      <c r="H201" s="698">
        <v>501705</v>
      </c>
      <c r="I201" s="698">
        <v>0</v>
      </c>
      <c r="J201" s="698" t="s">
        <v>874</v>
      </c>
      <c r="K201" s="698" t="s">
        <v>875</v>
      </c>
      <c r="L201" s="701">
        <v>396</v>
      </c>
      <c r="M201" s="701">
        <v>5</v>
      </c>
      <c r="N201" s="702">
        <v>1980</v>
      </c>
    </row>
    <row r="202" spans="1:14" ht="14.4" customHeight="1" x14ac:dyDescent="0.3">
      <c r="A202" s="696" t="s">
        <v>505</v>
      </c>
      <c r="B202" s="697" t="s">
        <v>506</v>
      </c>
      <c r="C202" s="698" t="s">
        <v>519</v>
      </c>
      <c r="D202" s="699" t="s">
        <v>520</v>
      </c>
      <c r="E202" s="700">
        <v>50113001</v>
      </c>
      <c r="F202" s="699" t="s">
        <v>524</v>
      </c>
      <c r="G202" s="698" t="s">
        <v>525</v>
      </c>
      <c r="H202" s="698">
        <v>847767</v>
      </c>
      <c r="I202" s="698">
        <v>500140</v>
      </c>
      <c r="J202" s="698" t="s">
        <v>876</v>
      </c>
      <c r="K202" s="698" t="s">
        <v>877</v>
      </c>
      <c r="L202" s="701">
        <v>699.01</v>
      </c>
      <c r="M202" s="701">
        <v>1</v>
      </c>
      <c r="N202" s="702">
        <v>699.01</v>
      </c>
    </row>
    <row r="203" spans="1:14" ht="14.4" customHeight="1" x14ac:dyDescent="0.3">
      <c r="A203" s="696" t="s">
        <v>505</v>
      </c>
      <c r="B203" s="697" t="s">
        <v>506</v>
      </c>
      <c r="C203" s="698" t="s">
        <v>519</v>
      </c>
      <c r="D203" s="699" t="s">
        <v>520</v>
      </c>
      <c r="E203" s="700">
        <v>50113001</v>
      </c>
      <c r="F203" s="699" t="s">
        <v>524</v>
      </c>
      <c r="G203" s="698" t="s">
        <v>525</v>
      </c>
      <c r="H203" s="698">
        <v>117189</v>
      </c>
      <c r="I203" s="698">
        <v>17189</v>
      </c>
      <c r="J203" s="698" t="s">
        <v>878</v>
      </c>
      <c r="K203" s="698" t="s">
        <v>879</v>
      </c>
      <c r="L203" s="701">
        <v>55.87</v>
      </c>
      <c r="M203" s="701">
        <v>1</v>
      </c>
      <c r="N203" s="702">
        <v>55.87</v>
      </c>
    </row>
    <row r="204" spans="1:14" ht="14.4" customHeight="1" x14ac:dyDescent="0.3">
      <c r="A204" s="696" t="s">
        <v>505</v>
      </c>
      <c r="B204" s="697" t="s">
        <v>506</v>
      </c>
      <c r="C204" s="698" t="s">
        <v>519</v>
      </c>
      <c r="D204" s="699" t="s">
        <v>520</v>
      </c>
      <c r="E204" s="700">
        <v>50113001</v>
      </c>
      <c r="F204" s="699" t="s">
        <v>524</v>
      </c>
      <c r="G204" s="698" t="s">
        <v>525</v>
      </c>
      <c r="H204" s="698">
        <v>848725</v>
      </c>
      <c r="I204" s="698">
        <v>107677</v>
      </c>
      <c r="J204" s="698" t="s">
        <v>880</v>
      </c>
      <c r="K204" s="698" t="s">
        <v>881</v>
      </c>
      <c r="L204" s="701">
        <v>382.1100000000003</v>
      </c>
      <c r="M204" s="701">
        <v>167</v>
      </c>
      <c r="N204" s="702">
        <v>63812.370000000054</v>
      </c>
    </row>
    <row r="205" spans="1:14" ht="14.4" customHeight="1" x14ac:dyDescent="0.3">
      <c r="A205" s="696" t="s">
        <v>505</v>
      </c>
      <c r="B205" s="697" t="s">
        <v>506</v>
      </c>
      <c r="C205" s="698" t="s">
        <v>519</v>
      </c>
      <c r="D205" s="699" t="s">
        <v>520</v>
      </c>
      <c r="E205" s="700">
        <v>50113001</v>
      </c>
      <c r="F205" s="699" t="s">
        <v>524</v>
      </c>
      <c r="G205" s="698" t="s">
        <v>525</v>
      </c>
      <c r="H205" s="698">
        <v>100489</v>
      </c>
      <c r="I205" s="698">
        <v>489</v>
      </c>
      <c r="J205" s="698" t="s">
        <v>882</v>
      </c>
      <c r="K205" s="698" t="s">
        <v>883</v>
      </c>
      <c r="L205" s="701">
        <v>45.60954128440369</v>
      </c>
      <c r="M205" s="701">
        <v>218</v>
      </c>
      <c r="N205" s="702">
        <v>9942.8800000000047</v>
      </c>
    </row>
    <row r="206" spans="1:14" ht="14.4" customHeight="1" x14ac:dyDescent="0.3">
      <c r="A206" s="696" t="s">
        <v>505</v>
      </c>
      <c r="B206" s="697" t="s">
        <v>506</v>
      </c>
      <c r="C206" s="698" t="s">
        <v>519</v>
      </c>
      <c r="D206" s="699" t="s">
        <v>520</v>
      </c>
      <c r="E206" s="700">
        <v>50113001</v>
      </c>
      <c r="F206" s="699" t="s">
        <v>524</v>
      </c>
      <c r="G206" s="698" t="s">
        <v>525</v>
      </c>
      <c r="H206" s="698">
        <v>158746</v>
      </c>
      <c r="I206" s="698">
        <v>58746</v>
      </c>
      <c r="J206" s="698" t="s">
        <v>884</v>
      </c>
      <c r="K206" s="698" t="s">
        <v>885</v>
      </c>
      <c r="L206" s="701">
        <v>566.39999999999986</v>
      </c>
      <c r="M206" s="701">
        <v>1</v>
      </c>
      <c r="N206" s="702">
        <v>566.39999999999986</v>
      </c>
    </row>
    <row r="207" spans="1:14" ht="14.4" customHeight="1" x14ac:dyDescent="0.3">
      <c r="A207" s="696" t="s">
        <v>505</v>
      </c>
      <c r="B207" s="697" t="s">
        <v>506</v>
      </c>
      <c r="C207" s="698" t="s">
        <v>519</v>
      </c>
      <c r="D207" s="699" t="s">
        <v>520</v>
      </c>
      <c r="E207" s="700">
        <v>50113001</v>
      </c>
      <c r="F207" s="699" t="s">
        <v>524</v>
      </c>
      <c r="G207" s="698" t="s">
        <v>546</v>
      </c>
      <c r="H207" s="698">
        <v>166759</v>
      </c>
      <c r="I207" s="698">
        <v>166759</v>
      </c>
      <c r="J207" s="698" t="s">
        <v>886</v>
      </c>
      <c r="K207" s="698" t="s">
        <v>887</v>
      </c>
      <c r="L207" s="701">
        <v>123.30999999999999</v>
      </c>
      <c r="M207" s="701">
        <v>1</v>
      </c>
      <c r="N207" s="702">
        <v>123.30999999999999</v>
      </c>
    </row>
    <row r="208" spans="1:14" ht="14.4" customHeight="1" x14ac:dyDescent="0.3">
      <c r="A208" s="696" t="s">
        <v>505</v>
      </c>
      <c r="B208" s="697" t="s">
        <v>506</v>
      </c>
      <c r="C208" s="698" t="s">
        <v>519</v>
      </c>
      <c r="D208" s="699" t="s">
        <v>520</v>
      </c>
      <c r="E208" s="700">
        <v>50113001</v>
      </c>
      <c r="F208" s="699" t="s">
        <v>524</v>
      </c>
      <c r="G208" s="698" t="s">
        <v>546</v>
      </c>
      <c r="H208" s="698">
        <v>166760</v>
      </c>
      <c r="I208" s="698">
        <v>166760</v>
      </c>
      <c r="J208" s="698" t="s">
        <v>886</v>
      </c>
      <c r="K208" s="698" t="s">
        <v>888</v>
      </c>
      <c r="L208" s="701">
        <v>312.47000000000014</v>
      </c>
      <c r="M208" s="701">
        <v>1</v>
      </c>
      <c r="N208" s="702">
        <v>312.47000000000014</v>
      </c>
    </row>
    <row r="209" spans="1:14" ht="14.4" customHeight="1" x14ac:dyDescent="0.3">
      <c r="A209" s="696" t="s">
        <v>505</v>
      </c>
      <c r="B209" s="697" t="s">
        <v>506</v>
      </c>
      <c r="C209" s="698" t="s">
        <v>519</v>
      </c>
      <c r="D209" s="699" t="s">
        <v>520</v>
      </c>
      <c r="E209" s="700">
        <v>50113001</v>
      </c>
      <c r="F209" s="699" t="s">
        <v>524</v>
      </c>
      <c r="G209" s="698" t="s">
        <v>525</v>
      </c>
      <c r="H209" s="698">
        <v>900881</v>
      </c>
      <c r="I209" s="698">
        <v>0</v>
      </c>
      <c r="J209" s="698" t="s">
        <v>889</v>
      </c>
      <c r="K209" s="698" t="s">
        <v>507</v>
      </c>
      <c r="L209" s="701">
        <v>130.98645900707501</v>
      </c>
      <c r="M209" s="701">
        <v>2</v>
      </c>
      <c r="N209" s="702">
        <v>261.97291801415003</v>
      </c>
    </row>
    <row r="210" spans="1:14" ht="14.4" customHeight="1" x14ac:dyDescent="0.3">
      <c r="A210" s="696" t="s">
        <v>505</v>
      </c>
      <c r="B210" s="697" t="s">
        <v>506</v>
      </c>
      <c r="C210" s="698" t="s">
        <v>519</v>
      </c>
      <c r="D210" s="699" t="s">
        <v>520</v>
      </c>
      <c r="E210" s="700">
        <v>50113001</v>
      </c>
      <c r="F210" s="699" t="s">
        <v>524</v>
      </c>
      <c r="G210" s="698" t="s">
        <v>525</v>
      </c>
      <c r="H210" s="698">
        <v>930589</v>
      </c>
      <c r="I210" s="698">
        <v>0</v>
      </c>
      <c r="J210" s="698" t="s">
        <v>890</v>
      </c>
      <c r="K210" s="698" t="s">
        <v>507</v>
      </c>
      <c r="L210" s="701">
        <v>104.75996994894274</v>
      </c>
      <c r="M210" s="701">
        <v>2</v>
      </c>
      <c r="N210" s="702">
        <v>209.51993989788548</v>
      </c>
    </row>
    <row r="211" spans="1:14" ht="14.4" customHeight="1" x14ac:dyDescent="0.3">
      <c r="A211" s="696" t="s">
        <v>505</v>
      </c>
      <c r="B211" s="697" t="s">
        <v>506</v>
      </c>
      <c r="C211" s="698" t="s">
        <v>519</v>
      </c>
      <c r="D211" s="699" t="s">
        <v>520</v>
      </c>
      <c r="E211" s="700">
        <v>50113001</v>
      </c>
      <c r="F211" s="699" t="s">
        <v>524</v>
      </c>
      <c r="G211" s="698" t="s">
        <v>525</v>
      </c>
      <c r="H211" s="698">
        <v>921458</v>
      </c>
      <c r="I211" s="698">
        <v>0</v>
      </c>
      <c r="J211" s="698" t="s">
        <v>891</v>
      </c>
      <c r="K211" s="698" t="s">
        <v>507</v>
      </c>
      <c r="L211" s="701">
        <v>108.79735803825797</v>
      </c>
      <c r="M211" s="701">
        <v>12</v>
      </c>
      <c r="N211" s="702">
        <v>1305.5682964590956</v>
      </c>
    </row>
    <row r="212" spans="1:14" ht="14.4" customHeight="1" x14ac:dyDescent="0.3">
      <c r="A212" s="696" t="s">
        <v>505</v>
      </c>
      <c r="B212" s="697" t="s">
        <v>506</v>
      </c>
      <c r="C212" s="698" t="s">
        <v>519</v>
      </c>
      <c r="D212" s="699" t="s">
        <v>520</v>
      </c>
      <c r="E212" s="700">
        <v>50113001</v>
      </c>
      <c r="F212" s="699" t="s">
        <v>524</v>
      </c>
      <c r="G212" s="698" t="s">
        <v>525</v>
      </c>
      <c r="H212" s="698">
        <v>930759</v>
      </c>
      <c r="I212" s="698">
        <v>0</v>
      </c>
      <c r="J212" s="698" t="s">
        <v>892</v>
      </c>
      <c r="K212" s="698" t="s">
        <v>507</v>
      </c>
      <c r="L212" s="701">
        <v>175.09659064034773</v>
      </c>
      <c r="M212" s="701">
        <v>3</v>
      </c>
      <c r="N212" s="702">
        <v>525.28977192104321</v>
      </c>
    </row>
    <row r="213" spans="1:14" ht="14.4" customHeight="1" x14ac:dyDescent="0.3">
      <c r="A213" s="696" t="s">
        <v>505</v>
      </c>
      <c r="B213" s="697" t="s">
        <v>506</v>
      </c>
      <c r="C213" s="698" t="s">
        <v>519</v>
      </c>
      <c r="D213" s="699" t="s">
        <v>520</v>
      </c>
      <c r="E213" s="700">
        <v>50113001</v>
      </c>
      <c r="F213" s="699" t="s">
        <v>524</v>
      </c>
      <c r="G213" s="698" t="s">
        <v>525</v>
      </c>
      <c r="H213" s="698">
        <v>900441</v>
      </c>
      <c r="I213" s="698">
        <v>0</v>
      </c>
      <c r="J213" s="698" t="s">
        <v>893</v>
      </c>
      <c r="K213" s="698" t="s">
        <v>894</v>
      </c>
      <c r="L213" s="701">
        <v>192.06125170691993</v>
      </c>
      <c r="M213" s="701">
        <v>6</v>
      </c>
      <c r="N213" s="702">
        <v>1152.3675102415195</v>
      </c>
    </row>
    <row r="214" spans="1:14" ht="14.4" customHeight="1" x14ac:dyDescent="0.3">
      <c r="A214" s="696" t="s">
        <v>505</v>
      </c>
      <c r="B214" s="697" t="s">
        <v>506</v>
      </c>
      <c r="C214" s="698" t="s">
        <v>519</v>
      </c>
      <c r="D214" s="699" t="s">
        <v>520</v>
      </c>
      <c r="E214" s="700">
        <v>50113001</v>
      </c>
      <c r="F214" s="699" t="s">
        <v>524</v>
      </c>
      <c r="G214" s="698" t="s">
        <v>525</v>
      </c>
      <c r="H214" s="698">
        <v>911926</v>
      </c>
      <c r="I214" s="698">
        <v>0</v>
      </c>
      <c r="J214" s="698" t="s">
        <v>895</v>
      </c>
      <c r="K214" s="698" t="s">
        <v>507</v>
      </c>
      <c r="L214" s="701">
        <v>39.923826917200415</v>
      </c>
      <c r="M214" s="701">
        <v>1</v>
      </c>
      <c r="N214" s="702">
        <v>39.923826917200415</v>
      </c>
    </row>
    <row r="215" spans="1:14" ht="14.4" customHeight="1" x14ac:dyDescent="0.3">
      <c r="A215" s="696" t="s">
        <v>505</v>
      </c>
      <c r="B215" s="697" t="s">
        <v>506</v>
      </c>
      <c r="C215" s="698" t="s">
        <v>519</v>
      </c>
      <c r="D215" s="699" t="s">
        <v>520</v>
      </c>
      <c r="E215" s="700">
        <v>50113001</v>
      </c>
      <c r="F215" s="699" t="s">
        <v>524</v>
      </c>
      <c r="G215" s="698" t="s">
        <v>525</v>
      </c>
      <c r="H215" s="698">
        <v>900539</v>
      </c>
      <c r="I215" s="698">
        <v>0</v>
      </c>
      <c r="J215" s="698" t="s">
        <v>896</v>
      </c>
      <c r="K215" s="698" t="s">
        <v>507</v>
      </c>
      <c r="L215" s="701">
        <v>116.45975609929663</v>
      </c>
      <c r="M215" s="701">
        <v>145</v>
      </c>
      <c r="N215" s="702">
        <v>16886.66463439801</v>
      </c>
    </row>
    <row r="216" spans="1:14" ht="14.4" customHeight="1" x14ac:dyDescent="0.3">
      <c r="A216" s="696" t="s">
        <v>505</v>
      </c>
      <c r="B216" s="697" t="s">
        <v>506</v>
      </c>
      <c r="C216" s="698" t="s">
        <v>519</v>
      </c>
      <c r="D216" s="699" t="s">
        <v>520</v>
      </c>
      <c r="E216" s="700">
        <v>50113001</v>
      </c>
      <c r="F216" s="699" t="s">
        <v>524</v>
      </c>
      <c r="G216" s="698" t="s">
        <v>525</v>
      </c>
      <c r="H216" s="698">
        <v>921231</v>
      </c>
      <c r="I216" s="698">
        <v>0</v>
      </c>
      <c r="J216" s="698" t="s">
        <v>897</v>
      </c>
      <c r="K216" s="698" t="s">
        <v>507</v>
      </c>
      <c r="L216" s="701">
        <v>58.855095212284425</v>
      </c>
      <c r="M216" s="701">
        <v>96</v>
      </c>
      <c r="N216" s="702">
        <v>5650.0891403793048</v>
      </c>
    </row>
    <row r="217" spans="1:14" ht="14.4" customHeight="1" x14ac:dyDescent="0.3">
      <c r="A217" s="696" t="s">
        <v>505</v>
      </c>
      <c r="B217" s="697" t="s">
        <v>506</v>
      </c>
      <c r="C217" s="698" t="s">
        <v>519</v>
      </c>
      <c r="D217" s="699" t="s">
        <v>520</v>
      </c>
      <c r="E217" s="700">
        <v>50113001</v>
      </c>
      <c r="F217" s="699" t="s">
        <v>524</v>
      </c>
      <c r="G217" s="698" t="s">
        <v>525</v>
      </c>
      <c r="H217" s="698">
        <v>501736</v>
      </c>
      <c r="I217" s="698">
        <v>0</v>
      </c>
      <c r="J217" s="698" t="s">
        <v>898</v>
      </c>
      <c r="K217" s="698" t="s">
        <v>507</v>
      </c>
      <c r="L217" s="701">
        <v>183.38241979283046</v>
      </c>
      <c r="M217" s="701">
        <v>35</v>
      </c>
      <c r="N217" s="702">
        <v>6418.3846927490658</v>
      </c>
    </row>
    <row r="218" spans="1:14" ht="14.4" customHeight="1" x14ac:dyDescent="0.3">
      <c r="A218" s="696" t="s">
        <v>505</v>
      </c>
      <c r="B218" s="697" t="s">
        <v>506</v>
      </c>
      <c r="C218" s="698" t="s">
        <v>519</v>
      </c>
      <c r="D218" s="699" t="s">
        <v>520</v>
      </c>
      <c r="E218" s="700">
        <v>50113001</v>
      </c>
      <c r="F218" s="699" t="s">
        <v>524</v>
      </c>
      <c r="G218" s="698" t="s">
        <v>525</v>
      </c>
      <c r="H218" s="698">
        <v>900321</v>
      </c>
      <c r="I218" s="698">
        <v>0</v>
      </c>
      <c r="J218" s="698" t="s">
        <v>899</v>
      </c>
      <c r="K218" s="698" t="s">
        <v>507</v>
      </c>
      <c r="L218" s="701">
        <v>252.98698210227022</v>
      </c>
      <c r="M218" s="701">
        <v>12</v>
      </c>
      <c r="N218" s="702">
        <v>3035.8437852272427</v>
      </c>
    </row>
    <row r="219" spans="1:14" ht="14.4" customHeight="1" x14ac:dyDescent="0.3">
      <c r="A219" s="696" t="s">
        <v>505</v>
      </c>
      <c r="B219" s="697" t="s">
        <v>506</v>
      </c>
      <c r="C219" s="698" t="s">
        <v>519</v>
      </c>
      <c r="D219" s="699" t="s">
        <v>520</v>
      </c>
      <c r="E219" s="700">
        <v>50113001</v>
      </c>
      <c r="F219" s="699" t="s">
        <v>524</v>
      </c>
      <c r="G219" s="698" t="s">
        <v>525</v>
      </c>
      <c r="H219" s="698">
        <v>501065</v>
      </c>
      <c r="I219" s="698">
        <v>0</v>
      </c>
      <c r="J219" s="698" t="s">
        <v>900</v>
      </c>
      <c r="K219" s="698" t="s">
        <v>507</v>
      </c>
      <c r="L219" s="701">
        <v>329.86396188883253</v>
      </c>
      <c r="M219" s="701">
        <v>9</v>
      </c>
      <c r="N219" s="702">
        <v>2968.7756569994926</v>
      </c>
    </row>
    <row r="220" spans="1:14" ht="14.4" customHeight="1" x14ac:dyDescent="0.3">
      <c r="A220" s="696" t="s">
        <v>505</v>
      </c>
      <c r="B220" s="697" t="s">
        <v>506</v>
      </c>
      <c r="C220" s="698" t="s">
        <v>519</v>
      </c>
      <c r="D220" s="699" t="s">
        <v>520</v>
      </c>
      <c r="E220" s="700">
        <v>50113001</v>
      </c>
      <c r="F220" s="699" t="s">
        <v>524</v>
      </c>
      <c r="G220" s="698" t="s">
        <v>525</v>
      </c>
      <c r="H220" s="698">
        <v>396374</v>
      </c>
      <c r="I220" s="698">
        <v>0</v>
      </c>
      <c r="J220" s="698" t="s">
        <v>901</v>
      </c>
      <c r="K220" s="698" t="s">
        <v>902</v>
      </c>
      <c r="L220" s="701">
        <v>106.5958017034026</v>
      </c>
      <c r="M220" s="701">
        <v>2</v>
      </c>
      <c r="N220" s="702">
        <v>213.1916034068052</v>
      </c>
    </row>
    <row r="221" spans="1:14" ht="14.4" customHeight="1" x14ac:dyDescent="0.3">
      <c r="A221" s="696" t="s">
        <v>505</v>
      </c>
      <c r="B221" s="697" t="s">
        <v>506</v>
      </c>
      <c r="C221" s="698" t="s">
        <v>519</v>
      </c>
      <c r="D221" s="699" t="s">
        <v>520</v>
      </c>
      <c r="E221" s="700">
        <v>50113001</v>
      </c>
      <c r="F221" s="699" t="s">
        <v>524</v>
      </c>
      <c r="G221" s="698" t="s">
        <v>525</v>
      </c>
      <c r="H221" s="698">
        <v>920356</v>
      </c>
      <c r="I221" s="698">
        <v>0</v>
      </c>
      <c r="J221" s="698" t="s">
        <v>903</v>
      </c>
      <c r="K221" s="698" t="s">
        <v>507</v>
      </c>
      <c r="L221" s="701">
        <v>95.121336956904941</v>
      </c>
      <c r="M221" s="701">
        <v>8</v>
      </c>
      <c r="N221" s="702">
        <v>760.97069565523952</v>
      </c>
    </row>
    <row r="222" spans="1:14" ht="14.4" customHeight="1" x14ac:dyDescent="0.3">
      <c r="A222" s="696" t="s">
        <v>505</v>
      </c>
      <c r="B222" s="697" t="s">
        <v>506</v>
      </c>
      <c r="C222" s="698" t="s">
        <v>519</v>
      </c>
      <c r="D222" s="699" t="s">
        <v>520</v>
      </c>
      <c r="E222" s="700">
        <v>50113001</v>
      </c>
      <c r="F222" s="699" t="s">
        <v>524</v>
      </c>
      <c r="G222" s="698" t="s">
        <v>525</v>
      </c>
      <c r="H222" s="698">
        <v>920282</v>
      </c>
      <c r="I222" s="698">
        <v>0</v>
      </c>
      <c r="J222" s="698" t="s">
        <v>904</v>
      </c>
      <c r="K222" s="698" t="s">
        <v>507</v>
      </c>
      <c r="L222" s="701">
        <v>80.728166857142853</v>
      </c>
      <c r="M222" s="701">
        <v>3</v>
      </c>
      <c r="N222" s="702">
        <v>242.18450057142854</v>
      </c>
    </row>
    <row r="223" spans="1:14" ht="14.4" customHeight="1" x14ac:dyDescent="0.3">
      <c r="A223" s="696" t="s">
        <v>505</v>
      </c>
      <c r="B223" s="697" t="s">
        <v>506</v>
      </c>
      <c r="C223" s="698" t="s">
        <v>519</v>
      </c>
      <c r="D223" s="699" t="s">
        <v>520</v>
      </c>
      <c r="E223" s="700">
        <v>50113001</v>
      </c>
      <c r="F223" s="699" t="s">
        <v>524</v>
      </c>
      <c r="G223" s="698" t="s">
        <v>525</v>
      </c>
      <c r="H223" s="698">
        <v>501871</v>
      </c>
      <c r="I223" s="698">
        <v>0</v>
      </c>
      <c r="J223" s="698" t="s">
        <v>905</v>
      </c>
      <c r="K223" s="698" t="s">
        <v>507</v>
      </c>
      <c r="L223" s="701">
        <v>177.26870392690898</v>
      </c>
      <c r="M223" s="701">
        <v>90</v>
      </c>
      <c r="N223" s="702">
        <v>15954.183353421809</v>
      </c>
    </row>
    <row r="224" spans="1:14" ht="14.4" customHeight="1" x14ac:dyDescent="0.3">
      <c r="A224" s="696" t="s">
        <v>505</v>
      </c>
      <c r="B224" s="697" t="s">
        <v>506</v>
      </c>
      <c r="C224" s="698" t="s">
        <v>519</v>
      </c>
      <c r="D224" s="699" t="s">
        <v>520</v>
      </c>
      <c r="E224" s="700">
        <v>50113001</v>
      </c>
      <c r="F224" s="699" t="s">
        <v>524</v>
      </c>
      <c r="G224" s="698" t="s">
        <v>525</v>
      </c>
      <c r="H224" s="698">
        <v>921135</v>
      </c>
      <c r="I224" s="698">
        <v>0</v>
      </c>
      <c r="J224" s="698" t="s">
        <v>906</v>
      </c>
      <c r="K224" s="698" t="s">
        <v>907</v>
      </c>
      <c r="L224" s="701">
        <v>213.53963570462267</v>
      </c>
      <c r="M224" s="701">
        <v>75</v>
      </c>
      <c r="N224" s="702">
        <v>16015.472677846701</v>
      </c>
    </row>
    <row r="225" spans="1:14" ht="14.4" customHeight="1" x14ac:dyDescent="0.3">
      <c r="A225" s="696" t="s">
        <v>505</v>
      </c>
      <c r="B225" s="697" t="s">
        <v>506</v>
      </c>
      <c r="C225" s="698" t="s">
        <v>519</v>
      </c>
      <c r="D225" s="699" t="s">
        <v>520</v>
      </c>
      <c r="E225" s="700">
        <v>50113001</v>
      </c>
      <c r="F225" s="699" t="s">
        <v>524</v>
      </c>
      <c r="G225" s="698" t="s">
        <v>525</v>
      </c>
      <c r="H225" s="698">
        <v>921184</v>
      </c>
      <c r="I225" s="698">
        <v>0</v>
      </c>
      <c r="J225" s="698" t="s">
        <v>908</v>
      </c>
      <c r="K225" s="698" t="s">
        <v>507</v>
      </c>
      <c r="L225" s="701">
        <v>64.827508655455887</v>
      </c>
      <c r="M225" s="701">
        <v>5</v>
      </c>
      <c r="N225" s="702">
        <v>324.13754327727941</v>
      </c>
    </row>
    <row r="226" spans="1:14" ht="14.4" customHeight="1" x14ac:dyDescent="0.3">
      <c r="A226" s="696" t="s">
        <v>505</v>
      </c>
      <c r="B226" s="697" t="s">
        <v>506</v>
      </c>
      <c r="C226" s="698" t="s">
        <v>519</v>
      </c>
      <c r="D226" s="699" t="s">
        <v>520</v>
      </c>
      <c r="E226" s="700">
        <v>50113001</v>
      </c>
      <c r="F226" s="699" t="s">
        <v>524</v>
      </c>
      <c r="G226" s="698" t="s">
        <v>525</v>
      </c>
      <c r="H226" s="698">
        <v>921230</v>
      </c>
      <c r="I226" s="698">
        <v>0</v>
      </c>
      <c r="J226" s="698" t="s">
        <v>909</v>
      </c>
      <c r="K226" s="698" t="s">
        <v>507</v>
      </c>
      <c r="L226" s="701">
        <v>39.022387892679077</v>
      </c>
      <c r="M226" s="701">
        <v>360</v>
      </c>
      <c r="N226" s="702">
        <v>14048.059641364469</v>
      </c>
    </row>
    <row r="227" spans="1:14" ht="14.4" customHeight="1" x14ac:dyDescent="0.3">
      <c r="A227" s="696" t="s">
        <v>505</v>
      </c>
      <c r="B227" s="697" t="s">
        <v>506</v>
      </c>
      <c r="C227" s="698" t="s">
        <v>519</v>
      </c>
      <c r="D227" s="699" t="s">
        <v>520</v>
      </c>
      <c r="E227" s="700">
        <v>50113001</v>
      </c>
      <c r="F227" s="699" t="s">
        <v>524</v>
      </c>
      <c r="G227" s="698" t="s">
        <v>525</v>
      </c>
      <c r="H227" s="698">
        <v>990947</v>
      </c>
      <c r="I227" s="698">
        <v>0</v>
      </c>
      <c r="J227" s="698" t="s">
        <v>910</v>
      </c>
      <c r="K227" s="698" t="s">
        <v>507</v>
      </c>
      <c r="L227" s="701">
        <v>1373.7600000000002</v>
      </c>
      <c r="M227" s="701">
        <v>1</v>
      </c>
      <c r="N227" s="702">
        <v>1373.7600000000002</v>
      </c>
    </row>
    <row r="228" spans="1:14" ht="14.4" customHeight="1" x14ac:dyDescent="0.3">
      <c r="A228" s="696" t="s">
        <v>505</v>
      </c>
      <c r="B228" s="697" t="s">
        <v>506</v>
      </c>
      <c r="C228" s="698" t="s">
        <v>519</v>
      </c>
      <c r="D228" s="699" t="s">
        <v>520</v>
      </c>
      <c r="E228" s="700">
        <v>50113001</v>
      </c>
      <c r="F228" s="699" t="s">
        <v>524</v>
      </c>
      <c r="G228" s="698" t="s">
        <v>525</v>
      </c>
      <c r="H228" s="698">
        <v>990927</v>
      </c>
      <c r="I228" s="698">
        <v>0</v>
      </c>
      <c r="J228" s="698" t="s">
        <v>911</v>
      </c>
      <c r="K228" s="698" t="s">
        <v>507</v>
      </c>
      <c r="L228" s="701">
        <v>139.92999999999998</v>
      </c>
      <c r="M228" s="701">
        <v>10</v>
      </c>
      <c r="N228" s="702">
        <v>1399.2999999999997</v>
      </c>
    </row>
    <row r="229" spans="1:14" ht="14.4" customHeight="1" x14ac:dyDescent="0.3">
      <c r="A229" s="696" t="s">
        <v>505</v>
      </c>
      <c r="B229" s="697" t="s">
        <v>506</v>
      </c>
      <c r="C229" s="698" t="s">
        <v>519</v>
      </c>
      <c r="D229" s="699" t="s">
        <v>520</v>
      </c>
      <c r="E229" s="700">
        <v>50113001</v>
      </c>
      <c r="F229" s="699" t="s">
        <v>524</v>
      </c>
      <c r="G229" s="698" t="s">
        <v>525</v>
      </c>
      <c r="H229" s="698">
        <v>840220</v>
      </c>
      <c r="I229" s="698">
        <v>0</v>
      </c>
      <c r="J229" s="698" t="s">
        <v>912</v>
      </c>
      <c r="K229" s="698" t="s">
        <v>507</v>
      </c>
      <c r="L229" s="701">
        <v>215.07123809523804</v>
      </c>
      <c r="M229" s="701">
        <v>42</v>
      </c>
      <c r="N229" s="702">
        <v>9032.9919999999984</v>
      </c>
    </row>
    <row r="230" spans="1:14" ht="14.4" customHeight="1" x14ac:dyDescent="0.3">
      <c r="A230" s="696" t="s">
        <v>505</v>
      </c>
      <c r="B230" s="697" t="s">
        <v>506</v>
      </c>
      <c r="C230" s="698" t="s">
        <v>519</v>
      </c>
      <c r="D230" s="699" t="s">
        <v>520</v>
      </c>
      <c r="E230" s="700">
        <v>50113001</v>
      </c>
      <c r="F230" s="699" t="s">
        <v>524</v>
      </c>
      <c r="G230" s="698" t="s">
        <v>525</v>
      </c>
      <c r="H230" s="698">
        <v>119570</v>
      </c>
      <c r="I230" s="698">
        <v>19570</v>
      </c>
      <c r="J230" s="698" t="s">
        <v>913</v>
      </c>
      <c r="K230" s="698" t="s">
        <v>914</v>
      </c>
      <c r="L230" s="701">
        <v>126.72999999999999</v>
      </c>
      <c r="M230" s="701">
        <v>1</v>
      </c>
      <c r="N230" s="702">
        <v>126.72999999999999</v>
      </c>
    </row>
    <row r="231" spans="1:14" ht="14.4" customHeight="1" x14ac:dyDescent="0.3">
      <c r="A231" s="696" t="s">
        <v>505</v>
      </c>
      <c r="B231" s="697" t="s">
        <v>506</v>
      </c>
      <c r="C231" s="698" t="s">
        <v>519</v>
      </c>
      <c r="D231" s="699" t="s">
        <v>520</v>
      </c>
      <c r="E231" s="700">
        <v>50113001</v>
      </c>
      <c r="F231" s="699" t="s">
        <v>524</v>
      </c>
      <c r="G231" s="698" t="s">
        <v>546</v>
      </c>
      <c r="H231" s="698">
        <v>187427</v>
      </c>
      <c r="I231" s="698">
        <v>187427</v>
      </c>
      <c r="J231" s="698" t="s">
        <v>915</v>
      </c>
      <c r="K231" s="698" t="s">
        <v>916</v>
      </c>
      <c r="L231" s="701">
        <v>62.670000000000009</v>
      </c>
      <c r="M231" s="701">
        <v>8</v>
      </c>
      <c r="N231" s="702">
        <v>501.36000000000007</v>
      </c>
    </row>
    <row r="232" spans="1:14" ht="14.4" customHeight="1" x14ac:dyDescent="0.3">
      <c r="A232" s="696" t="s">
        <v>505</v>
      </c>
      <c r="B232" s="697" t="s">
        <v>506</v>
      </c>
      <c r="C232" s="698" t="s">
        <v>519</v>
      </c>
      <c r="D232" s="699" t="s">
        <v>520</v>
      </c>
      <c r="E232" s="700">
        <v>50113001</v>
      </c>
      <c r="F232" s="699" t="s">
        <v>524</v>
      </c>
      <c r="G232" s="698" t="s">
        <v>546</v>
      </c>
      <c r="H232" s="698">
        <v>169714</v>
      </c>
      <c r="I232" s="698">
        <v>169714</v>
      </c>
      <c r="J232" s="698" t="s">
        <v>917</v>
      </c>
      <c r="K232" s="698" t="s">
        <v>918</v>
      </c>
      <c r="L232" s="701">
        <v>112.26999999999998</v>
      </c>
      <c r="M232" s="701">
        <v>2</v>
      </c>
      <c r="N232" s="702">
        <v>224.53999999999996</v>
      </c>
    </row>
    <row r="233" spans="1:14" ht="14.4" customHeight="1" x14ac:dyDescent="0.3">
      <c r="A233" s="696" t="s">
        <v>505</v>
      </c>
      <c r="B233" s="697" t="s">
        <v>506</v>
      </c>
      <c r="C233" s="698" t="s">
        <v>519</v>
      </c>
      <c r="D233" s="699" t="s">
        <v>520</v>
      </c>
      <c r="E233" s="700">
        <v>50113001</v>
      </c>
      <c r="F233" s="699" t="s">
        <v>524</v>
      </c>
      <c r="G233" s="698" t="s">
        <v>546</v>
      </c>
      <c r="H233" s="698">
        <v>147133</v>
      </c>
      <c r="I233" s="698">
        <v>172044</v>
      </c>
      <c r="J233" s="698" t="s">
        <v>919</v>
      </c>
      <c r="K233" s="698" t="s">
        <v>920</v>
      </c>
      <c r="L233" s="701">
        <v>98.12</v>
      </c>
      <c r="M233" s="701">
        <v>2</v>
      </c>
      <c r="N233" s="702">
        <v>196.24</v>
      </c>
    </row>
    <row r="234" spans="1:14" ht="14.4" customHeight="1" x14ac:dyDescent="0.3">
      <c r="A234" s="696" t="s">
        <v>505</v>
      </c>
      <c r="B234" s="697" t="s">
        <v>506</v>
      </c>
      <c r="C234" s="698" t="s">
        <v>519</v>
      </c>
      <c r="D234" s="699" t="s">
        <v>520</v>
      </c>
      <c r="E234" s="700">
        <v>50113001</v>
      </c>
      <c r="F234" s="699" t="s">
        <v>524</v>
      </c>
      <c r="G234" s="698" t="s">
        <v>546</v>
      </c>
      <c r="H234" s="698">
        <v>187425</v>
      </c>
      <c r="I234" s="698">
        <v>187425</v>
      </c>
      <c r="J234" s="698" t="s">
        <v>921</v>
      </c>
      <c r="K234" s="698" t="s">
        <v>922</v>
      </c>
      <c r="L234" s="701">
        <v>49.38</v>
      </c>
      <c r="M234" s="701">
        <v>4</v>
      </c>
      <c r="N234" s="702">
        <v>197.52</v>
      </c>
    </row>
    <row r="235" spans="1:14" ht="14.4" customHeight="1" x14ac:dyDescent="0.3">
      <c r="A235" s="696" t="s">
        <v>505</v>
      </c>
      <c r="B235" s="697" t="s">
        <v>506</v>
      </c>
      <c r="C235" s="698" t="s">
        <v>519</v>
      </c>
      <c r="D235" s="699" t="s">
        <v>520</v>
      </c>
      <c r="E235" s="700">
        <v>50113001</v>
      </c>
      <c r="F235" s="699" t="s">
        <v>524</v>
      </c>
      <c r="G235" s="698" t="s">
        <v>546</v>
      </c>
      <c r="H235" s="698">
        <v>184245</v>
      </c>
      <c r="I235" s="698">
        <v>184245</v>
      </c>
      <c r="J235" s="698" t="s">
        <v>923</v>
      </c>
      <c r="K235" s="698" t="s">
        <v>924</v>
      </c>
      <c r="L235" s="701">
        <v>92.77000000000001</v>
      </c>
      <c r="M235" s="701">
        <v>1</v>
      </c>
      <c r="N235" s="702">
        <v>92.77000000000001</v>
      </c>
    </row>
    <row r="236" spans="1:14" ht="14.4" customHeight="1" x14ac:dyDescent="0.3">
      <c r="A236" s="696" t="s">
        <v>505</v>
      </c>
      <c r="B236" s="697" t="s">
        <v>506</v>
      </c>
      <c r="C236" s="698" t="s">
        <v>519</v>
      </c>
      <c r="D236" s="699" t="s">
        <v>520</v>
      </c>
      <c r="E236" s="700">
        <v>50113001</v>
      </c>
      <c r="F236" s="699" t="s">
        <v>524</v>
      </c>
      <c r="G236" s="698" t="s">
        <v>546</v>
      </c>
      <c r="H236" s="698">
        <v>197125</v>
      </c>
      <c r="I236" s="698">
        <v>197125</v>
      </c>
      <c r="J236" s="698" t="s">
        <v>925</v>
      </c>
      <c r="K236" s="698" t="s">
        <v>926</v>
      </c>
      <c r="L236" s="701">
        <v>110</v>
      </c>
      <c r="M236" s="701">
        <v>11</v>
      </c>
      <c r="N236" s="702">
        <v>1210</v>
      </c>
    </row>
    <row r="237" spans="1:14" ht="14.4" customHeight="1" x14ac:dyDescent="0.3">
      <c r="A237" s="696" t="s">
        <v>505</v>
      </c>
      <c r="B237" s="697" t="s">
        <v>506</v>
      </c>
      <c r="C237" s="698" t="s">
        <v>519</v>
      </c>
      <c r="D237" s="699" t="s">
        <v>520</v>
      </c>
      <c r="E237" s="700">
        <v>50113001</v>
      </c>
      <c r="F237" s="699" t="s">
        <v>524</v>
      </c>
      <c r="G237" s="698" t="s">
        <v>525</v>
      </c>
      <c r="H237" s="698">
        <v>188217</v>
      </c>
      <c r="I237" s="698">
        <v>88217</v>
      </c>
      <c r="J237" s="698" t="s">
        <v>927</v>
      </c>
      <c r="K237" s="698" t="s">
        <v>928</v>
      </c>
      <c r="L237" s="701">
        <v>126.68235294117646</v>
      </c>
      <c r="M237" s="701">
        <v>34</v>
      </c>
      <c r="N237" s="702">
        <v>4307.2</v>
      </c>
    </row>
    <row r="238" spans="1:14" ht="14.4" customHeight="1" x14ac:dyDescent="0.3">
      <c r="A238" s="696" t="s">
        <v>505</v>
      </c>
      <c r="B238" s="697" t="s">
        <v>506</v>
      </c>
      <c r="C238" s="698" t="s">
        <v>519</v>
      </c>
      <c r="D238" s="699" t="s">
        <v>520</v>
      </c>
      <c r="E238" s="700">
        <v>50113001</v>
      </c>
      <c r="F238" s="699" t="s">
        <v>524</v>
      </c>
      <c r="G238" s="698" t="s">
        <v>525</v>
      </c>
      <c r="H238" s="698">
        <v>188219</v>
      </c>
      <c r="I238" s="698">
        <v>88219</v>
      </c>
      <c r="J238" s="698" t="s">
        <v>929</v>
      </c>
      <c r="K238" s="698" t="s">
        <v>930</v>
      </c>
      <c r="L238" s="701">
        <v>140.99</v>
      </c>
      <c r="M238" s="701">
        <v>3</v>
      </c>
      <c r="N238" s="702">
        <v>422.97</v>
      </c>
    </row>
    <row r="239" spans="1:14" ht="14.4" customHeight="1" x14ac:dyDescent="0.3">
      <c r="A239" s="696" t="s">
        <v>505</v>
      </c>
      <c r="B239" s="697" t="s">
        <v>506</v>
      </c>
      <c r="C239" s="698" t="s">
        <v>519</v>
      </c>
      <c r="D239" s="699" t="s">
        <v>520</v>
      </c>
      <c r="E239" s="700">
        <v>50113001</v>
      </c>
      <c r="F239" s="699" t="s">
        <v>524</v>
      </c>
      <c r="G239" s="698" t="s">
        <v>525</v>
      </c>
      <c r="H239" s="698">
        <v>118489</v>
      </c>
      <c r="I239" s="698">
        <v>18489</v>
      </c>
      <c r="J239" s="698" t="s">
        <v>931</v>
      </c>
      <c r="K239" s="698" t="s">
        <v>932</v>
      </c>
      <c r="L239" s="701">
        <v>360.18</v>
      </c>
      <c r="M239" s="701">
        <v>1</v>
      </c>
      <c r="N239" s="702">
        <v>360.18</v>
      </c>
    </row>
    <row r="240" spans="1:14" ht="14.4" customHeight="1" x14ac:dyDescent="0.3">
      <c r="A240" s="696" t="s">
        <v>505</v>
      </c>
      <c r="B240" s="697" t="s">
        <v>506</v>
      </c>
      <c r="C240" s="698" t="s">
        <v>519</v>
      </c>
      <c r="D240" s="699" t="s">
        <v>520</v>
      </c>
      <c r="E240" s="700">
        <v>50113001</v>
      </c>
      <c r="F240" s="699" t="s">
        <v>524</v>
      </c>
      <c r="G240" s="698" t="s">
        <v>546</v>
      </c>
      <c r="H240" s="698">
        <v>149909</v>
      </c>
      <c r="I240" s="698">
        <v>49909</v>
      </c>
      <c r="J240" s="698" t="s">
        <v>933</v>
      </c>
      <c r="K240" s="698" t="s">
        <v>934</v>
      </c>
      <c r="L240" s="701">
        <v>27.78</v>
      </c>
      <c r="M240" s="701">
        <v>3</v>
      </c>
      <c r="N240" s="702">
        <v>83.34</v>
      </c>
    </row>
    <row r="241" spans="1:14" ht="14.4" customHeight="1" x14ac:dyDescent="0.3">
      <c r="A241" s="696" t="s">
        <v>505</v>
      </c>
      <c r="B241" s="697" t="s">
        <v>506</v>
      </c>
      <c r="C241" s="698" t="s">
        <v>519</v>
      </c>
      <c r="D241" s="699" t="s">
        <v>520</v>
      </c>
      <c r="E241" s="700">
        <v>50113001</v>
      </c>
      <c r="F241" s="699" t="s">
        <v>524</v>
      </c>
      <c r="G241" s="698" t="s">
        <v>525</v>
      </c>
      <c r="H241" s="698">
        <v>192853</v>
      </c>
      <c r="I241" s="698">
        <v>192853</v>
      </c>
      <c r="J241" s="698" t="s">
        <v>935</v>
      </c>
      <c r="K241" s="698" t="s">
        <v>936</v>
      </c>
      <c r="L241" s="701">
        <v>107.44736842105264</v>
      </c>
      <c r="M241" s="701">
        <v>19</v>
      </c>
      <c r="N241" s="702">
        <v>2041.5000000000002</v>
      </c>
    </row>
    <row r="242" spans="1:14" ht="14.4" customHeight="1" x14ac:dyDescent="0.3">
      <c r="A242" s="696" t="s">
        <v>505</v>
      </c>
      <c r="B242" s="697" t="s">
        <v>506</v>
      </c>
      <c r="C242" s="698" t="s">
        <v>519</v>
      </c>
      <c r="D242" s="699" t="s">
        <v>520</v>
      </c>
      <c r="E242" s="700">
        <v>50113001</v>
      </c>
      <c r="F242" s="699" t="s">
        <v>524</v>
      </c>
      <c r="G242" s="698" t="s">
        <v>525</v>
      </c>
      <c r="H242" s="698">
        <v>110151</v>
      </c>
      <c r="I242" s="698">
        <v>10151</v>
      </c>
      <c r="J242" s="698" t="s">
        <v>935</v>
      </c>
      <c r="K242" s="698" t="s">
        <v>937</v>
      </c>
      <c r="L242" s="701">
        <v>66.051363636363632</v>
      </c>
      <c r="M242" s="701">
        <v>44</v>
      </c>
      <c r="N242" s="702">
        <v>2906.2599999999998</v>
      </c>
    </row>
    <row r="243" spans="1:14" ht="14.4" customHeight="1" x14ac:dyDescent="0.3">
      <c r="A243" s="696" t="s">
        <v>505</v>
      </c>
      <c r="B243" s="697" t="s">
        <v>506</v>
      </c>
      <c r="C243" s="698" t="s">
        <v>519</v>
      </c>
      <c r="D243" s="699" t="s">
        <v>520</v>
      </c>
      <c r="E243" s="700">
        <v>50113001</v>
      </c>
      <c r="F243" s="699" t="s">
        <v>524</v>
      </c>
      <c r="G243" s="698" t="s">
        <v>525</v>
      </c>
      <c r="H243" s="698">
        <v>200600</v>
      </c>
      <c r="I243" s="698">
        <v>200600</v>
      </c>
      <c r="J243" s="698" t="s">
        <v>938</v>
      </c>
      <c r="K243" s="698" t="s">
        <v>939</v>
      </c>
      <c r="L243" s="701">
        <v>131.66999999999993</v>
      </c>
      <c r="M243" s="701">
        <v>1</v>
      </c>
      <c r="N243" s="702">
        <v>131.66999999999993</v>
      </c>
    </row>
    <row r="244" spans="1:14" ht="14.4" customHeight="1" x14ac:dyDescent="0.3">
      <c r="A244" s="696" t="s">
        <v>505</v>
      </c>
      <c r="B244" s="697" t="s">
        <v>506</v>
      </c>
      <c r="C244" s="698" t="s">
        <v>519</v>
      </c>
      <c r="D244" s="699" t="s">
        <v>520</v>
      </c>
      <c r="E244" s="700">
        <v>50113001</v>
      </c>
      <c r="F244" s="699" t="s">
        <v>524</v>
      </c>
      <c r="G244" s="698" t="s">
        <v>525</v>
      </c>
      <c r="H244" s="698">
        <v>67558</v>
      </c>
      <c r="I244" s="698">
        <v>67558</v>
      </c>
      <c r="J244" s="698" t="s">
        <v>940</v>
      </c>
      <c r="K244" s="698" t="s">
        <v>941</v>
      </c>
      <c r="L244" s="701">
        <v>27.490000000000002</v>
      </c>
      <c r="M244" s="701">
        <v>26</v>
      </c>
      <c r="N244" s="702">
        <v>714.74</v>
      </c>
    </row>
    <row r="245" spans="1:14" ht="14.4" customHeight="1" x14ac:dyDescent="0.3">
      <c r="A245" s="696" t="s">
        <v>505</v>
      </c>
      <c r="B245" s="697" t="s">
        <v>506</v>
      </c>
      <c r="C245" s="698" t="s">
        <v>519</v>
      </c>
      <c r="D245" s="699" t="s">
        <v>520</v>
      </c>
      <c r="E245" s="700">
        <v>50113001</v>
      </c>
      <c r="F245" s="699" t="s">
        <v>524</v>
      </c>
      <c r="G245" s="698" t="s">
        <v>525</v>
      </c>
      <c r="H245" s="698">
        <v>196635</v>
      </c>
      <c r="I245" s="698">
        <v>96635</v>
      </c>
      <c r="J245" s="698" t="s">
        <v>942</v>
      </c>
      <c r="K245" s="698" t="s">
        <v>943</v>
      </c>
      <c r="L245" s="701">
        <v>111.60000000000002</v>
      </c>
      <c r="M245" s="701">
        <v>2</v>
      </c>
      <c r="N245" s="702">
        <v>223.20000000000005</v>
      </c>
    </row>
    <row r="246" spans="1:14" ht="14.4" customHeight="1" x14ac:dyDescent="0.3">
      <c r="A246" s="696" t="s">
        <v>505</v>
      </c>
      <c r="B246" s="697" t="s">
        <v>506</v>
      </c>
      <c r="C246" s="698" t="s">
        <v>519</v>
      </c>
      <c r="D246" s="699" t="s">
        <v>520</v>
      </c>
      <c r="E246" s="700">
        <v>50113001</v>
      </c>
      <c r="F246" s="699" t="s">
        <v>524</v>
      </c>
      <c r="G246" s="698" t="s">
        <v>525</v>
      </c>
      <c r="H246" s="698">
        <v>117992</v>
      </c>
      <c r="I246" s="698">
        <v>17992</v>
      </c>
      <c r="J246" s="698" t="s">
        <v>944</v>
      </c>
      <c r="K246" s="698" t="s">
        <v>945</v>
      </c>
      <c r="L246" s="701">
        <v>85.570000000000007</v>
      </c>
      <c r="M246" s="701">
        <v>1</v>
      </c>
      <c r="N246" s="702">
        <v>85.570000000000007</v>
      </c>
    </row>
    <row r="247" spans="1:14" ht="14.4" customHeight="1" x14ac:dyDescent="0.3">
      <c r="A247" s="696" t="s">
        <v>505</v>
      </c>
      <c r="B247" s="697" t="s">
        <v>506</v>
      </c>
      <c r="C247" s="698" t="s">
        <v>519</v>
      </c>
      <c r="D247" s="699" t="s">
        <v>520</v>
      </c>
      <c r="E247" s="700">
        <v>50113001</v>
      </c>
      <c r="F247" s="699" t="s">
        <v>524</v>
      </c>
      <c r="G247" s="698" t="s">
        <v>525</v>
      </c>
      <c r="H247" s="698">
        <v>100498</v>
      </c>
      <c r="I247" s="698">
        <v>498</v>
      </c>
      <c r="J247" s="698" t="s">
        <v>946</v>
      </c>
      <c r="K247" s="698" t="s">
        <v>634</v>
      </c>
      <c r="L247" s="701">
        <v>108.16076923076922</v>
      </c>
      <c r="M247" s="701">
        <v>624</v>
      </c>
      <c r="N247" s="702">
        <v>67492.319999999992</v>
      </c>
    </row>
    <row r="248" spans="1:14" ht="14.4" customHeight="1" x14ac:dyDescent="0.3">
      <c r="A248" s="696" t="s">
        <v>505</v>
      </c>
      <c r="B248" s="697" t="s">
        <v>506</v>
      </c>
      <c r="C248" s="698" t="s">
        <v>519</v>
      </c>
      <c r="D248" s="699" t="s">
        <v>520</v>
      </c>
      <c r="E248" s="700">
        <v>50113001</v>
      </c>
      <c r="F248" s="699" t="s">
        <v>524</v>
      </c>
      <c r="G248" s="698" t="s">
        <v>525</v>
      </c>
      <c r="H248" s="698">
        <v>100499</v>
      </c>
      <c r="I248" s="698">
        <v>499</v>
      </c>
      <c r="J248" s="698" t="s">
        <v>946</v>
      </c>
      <c r="K248" s="698" t="s">
        <v>947</v>
      </c>
      <c r="L248" s="701">
        <v>113.34111111111112</v>
      </c>
      <c r="M248" s="701">
        <v>27</v>
      </c>
      <c r="N248" s="702">
        <v>3060.21</v>
      </c>
    </row>
    <row r="249" spans="1:14" ht="14.4" customHeight="1" x14ac:dyDescent="0.3">
      <c r="A249" s="696" t="s">
        <v>505</v>
      </c>
      <c r="B249" s="697" t="s">
        <v>506</v>
      </c>
      <c r="C249" s="698" t="s">
        <v>519</v>
      </c>
      <c r="D249" s="699" t="s">
        <v>520</v>
      </c>
      <c r="E249" s="700">
        <v>50113001</v>
      </c>
      <c r="F249" s="699" t="s">
        <v>524</v>
      </c>
      <c r="G249" s="698" t="s">
        <v>525</v>
      </c>
      <c r="H249" s="698">
        <v>215978</v>
      </c>
      <c r="I249" s="698">
        <v>215978</v>
      </c>
      <c r="J249" s="698" t="s">
        <v>948</v>
      </c>
      <c r="K249" s="698" t="s">
        <v>949</v>
      </c>
      <c r="L249" s="701">
        <v>116.60000000000002</v>
      </c>
      <c r="M249" s="701">
        <v>2</v>
      </c>
      <c r="N249" s="702">
        <v>233.20000000000005</v>
      </c>
    </row>
    <row r="250" spans="1:14" ht="14.4" customHeight="1" x14ac:dyDescent="0.3">
      <c r="A250" s="696" t="s">
        <v>505</v>
      </c>
      <c r="B250" s="697" t="s">
        <v>506</v>
      </c>
      <c r="C250" s="698" t="s">
        <v>519</v>
      </c>
      <c r="D250" s="699" t="s">
        <v>520</v>
      </c>
      <c r="E250" s="700">
        <v>50113001</v>
      </c>
      <c r="F250" s="699" t="s">
        <v>524</v>
      </c>
      <c r="G250" s="698" t="s">
        <v>525</v>
      </c>
      <c r="H250" s="698">
        <v>102439</v>
      </c>
      <c r="I250" s="698">
        <v>2439</v>
      </c>
      <c r="J250" s="698" t="s">
        <v>950</v>
      </c>
      <c r="K250" s="698" t="s">
        <v>951</v>
      </c>
      <c r="L250" s="701">
        <v>285.08000000000021</v>
      </c>
      <c r="M250" s="701">
        <v>136</v>
      </c>
      <c r="N250" s="702">
        <v>38770.880000000026</v>
      </c>
    </row>
    <row r="251" spans="1:14" ht="14.4" customHeight="1" x14ac:dyDescent="0.3">
      <c r="A251" s="696" t="s">
        <v>505</v>
      </c>
      <c r="B251" s="697" t="s">
        <v>506</v>
      </c>
      <c r="C251" s="698" t="s">
        <v>519</v>
      </c>
      <c r="D251" s="699" t="s">
        <v>520</v>
      </c>
      <c r="E251" s="700">
        <v>50113001</v>
      </c>
      <c r="F251" s="699" t="s">
        <v>524</v>
      </c>
      <c r="G251" s="698" t="s">
        <v>525</v>
      </c>
      <c r="H251" s="698">
        <v>225168</v>
      </c>
      <c r="I251" s="698">
        <v>225168</v>
      </c>
      <c r="J251" s="698" t="s">
        <v>952</v>
      </c>
      <c r="K251" s="698" t="s">
        <v>953</v>
      </c>
      <c r="L251" s="701">
        <v>63.54</v>
      </c>
      <c r="M251" s="701">
        <v>2</v>
      </c>
      <c r="N251" s="702">
        <v>127.08</v>
      </c>
    </row>
    <row r="252" spans="1:14" ht="14.4" customHeight="1" x14ac:dyDescent="0.3">
      <c r="A252" s="696" t="s">
        <v>505</v>
      </c>
      <c r="B252" s="697" t="s">
        <v>506</v>
      </c>
      <c r="C252" s="698" t="s">
        <v>519</v>
      </c>
      <c r="D252" s="699" t="s">
        <v>520</v>
      </c>
      <c r="E252" s="700">
        <v>50113001</v>
      </c>
      <c r="F252" s="699" t="s">
        <v>524</v>
      </c>
      <c r="G252" s="698" t="s">
        <v>525</v>
      </c>
      <c r="H252" s="698">
        <v>100502</v>
      </c>
      <c r="I252" s="698">
        <v>502</v>
      </c>
      <c r="J252" s="698" t="s">
        <v>954</v>
      </c>
      <c r="K252" s="698" t="s">
        <v>955</v>
      </c>
      <c r="L252" s="701">
        <v>238.65999999999994</v>
      </c>
      <c r="M252" s="701">
        <v>22</v>
      </c>
      <c r="N252" s="702">
        <v>5250.5199999999986</v>
      </c>
    </row>
    <row r="253" spans="1:14" ht="14.4" customHeight="1" x14ac:dyDescent="0.3">
      <c r="A253" s="696" t="s">
        <v>505</v>
      </c>
      <c r="B253" s="697" t="s">
        <v>506</v>
      </c>
      <c r="C253" s="698" t="s">
        <v>519</v>
      </c>
      <c r="D253" s="699" t="s">
        <v>520</v>
      </c>
      <c r="E253" s="700">
        <v>50113001</v>
      </c>
      <c r="F253" s="699" t="s">
        <v>524</v>
      </c>
      <c r="G253" s="698" t="s">
        <v>525</v>
      </c>
      <c r="H253" s="698">
        <v>102684</v>
      </c>
      <c r="I253" s="698">
        <v>2684</v>
      </c>
      <c r="J253" s="698" t="s">
        <v>954</v>
      </c>
      <c r="K253" s="698" t="s">
        <v>956</v>
      </c>
      <c r="L253" s="701">
        <v>84.066666666666677</v>
      </c>
      <c r="M253" s="701">
        <v>78</v>
      </c>
      <c r="N253" s="702">
        <v>6557.2000000000007</v>
      </c>
    </row>
    <row r="254" spans="1:14" ht="14.4" customHeight="1" x14ac:dyDescent="0.3">
      <c r="A254" s="696" t="s">
        <v>505</v>
      </c>
      <c r="B254" s="697" t="s">
        <v>506</v>
      </c>
      <c r="C254" s="698" t="s">
        <v>519</v>
      </c>
      <c r="D254" s="699" t="s">
        <v>520</v>
      </c>
      <c r="E254" s="700">
        <v>50113001</v>
      </c>
      <c r="F254" s="699" t="s">
        <v>524</v>
      </c>
      <c r="G254" s="698" t="s">
        <v>525</v>
      </c>
      <c r="H254" s="698">
        <v>988256</v>
      </c>
      <c r="I254" s="698">
        <v>0</v>
      </c>
      <c r="J254" s="698" t="s">
        <v>957</v>
      </c>
      <c r="K254" s="698" t="s">
        <v>507</v>
      </c>
      <c r="L254" s="701">
        <v>243.47</v>
      </c>
      <c r="M254" s="701">
        <v>2</v>
      </c>
      <c r="N254" s="702">
        <v>486.94</v>
      </c>
    </row>
    <row r="255" spans="1:14" ht="14.4" customHeight="1" x14ac:dyDescent="0.3">
      <c r="A255" s="696" t="s">
        <v>505</v>
      </c>
      <c r="B255" s="697" t="s">
        <v>506</v>
      </c>
      <c r="C255" s="698" t="s">
        <v>519</v>
      </c>
      <c r="D255" s="699" t="s">
        <v>520</v>
      </c>
      <c r="E255" s="700">
        <v>50113001</v>
      </c>
      <c r="F255" s="699" t="s">
        <v>524</v>
      </c>
      <c r="G255" s="698" t="s">
        <v>546</v>
      </c>
      <c r="H255" s="698">
        <v>127736</v>
      </c>
      <c r="I255" s="698">
        <v>127736</v>
      </c>
      <c r="J255" s="698" t="s">
        <v>958</v>
      </c>
      <c r="K255" s="698" t="s">
        <v>959</v>
      </c>
      <c r="L255" s="701">
        <v>49.36999999999999</v>
      </c>
      <c r="M255" s="701">
        <v>10</v>
      </c>
      <c r="N255" s="702">
        <v>493.69999999999987</v>
      </c>
    </row>
    <row r="256" spans="1:14" ht="14.4" customHeight="1" x14ac:dyDescent="0.3">
      <c r="A256" s="696" t="s">
        <v>505</v>
      </c>
      <c r="B256" s="697" t="s">
        <v>506</v>
      </c>
      <c r="C256" s="698" t="s">
        <v>519</v>
      </c>
      <c r="D256" s="699" t="s">
        <v>520</v>
      </c>
      <c r="E256" s="700">
        <v>50113001</v>
      </c>
      <c r="F256" s="699" t="s">
        <v>524</v>
      </c>
      <c r="G256" s="698" t="s">
        <v>546</v>
      </c>
      <c r="H256" s="698">
        <v>184095</v>
      </c>
      <c r="I256" s="698">
        <v>184095</v>
      </c>
      <c r="J256" s="698" t="s">
        <v>960</v>
      </c>
      <c r="K256" s="698" t="s">
        <v>961</v>
      </c>
      <c r="L256" s="701">
        <v>280.94164383561639</v>
      </c>
      <c r="M256" s="701">
        <v>73</v>
      </c>
      <c r="N256" s="702">
        <v>20508.739999999998</v>
      </c>
    </row>
    <row r="257" spans="1:14" ht="14.4" customHeight="1" x14ac:dyDescent="0.3">
      <c r="A257" s="696" t="s">
        <v>505</v>
      </c>
      <c r="B257" s="697" t="s">
        <v>506</v>
      </c>
      <c r="C257" s="698" t="s">
        <v>519</v>
      </c>
      <c r="D257" s="699" t="s">
        <v>520</v>
      </c>
      <c r="E257" s="700">
        <v>50113001</v>
      </c>
      <c r="F257" s="699" t="s">
        <v>524</v>
      </c>
      <c r="G257" s="698" t="s">
        <v>546</v>
      </c>
      <c r="H257" s="698">
        <v>127737</v>
      </c>
      <c r="I257" s="698">
        <v>127737</v>
      </c>
      <c r="J257" s="698" t="s">
        <v>960</v>
      </c>
      <c r="K257" s="698" t="s">
        <v>962</v>
      </c>
      <c r="L257" s="701">
        <v>67.320000000000007</v>
      </c>
      <c r="M257" s="701">
        <v>2</v>
      </c>
      <c r="N257" s="702">
        <v>134.64000000000001</v>
      </c>
    </row>
    <row r="258" spans="1:14" ht="14.4" customHeight="1" x14ac:dyDescent="0.3">
      <c r="A258" s="696" t="s">
        <v>505</v>
      </c>
      <c r="B258" s="697" t="s">
        <v>506</v>
      </c>
      <c r="C258" s="698" t="s">
        <v>519</v>
      </c>
      <c r="D258" s="699" t="s">
        <v>520</v>
      </c>
      <c r="E258" s="700">
        <v>50113001</v>
      </c>
      <c r="F258" s="699" t="s">
        <v>524</v>
      </c>
      <c r="G258" s="698" t="s">
        <v>546</v>
      </c>
      <c r="H258" s="698">
        <v>127738</v>
      </c>
      <c r="I258" s="698">
        <v>127738</v>
      </c>
      <c r="J258" s="698" t="s">
        <v>960</v>
      </c>
      <c r="K258" s="698" t="s">
        <v>963</v>
      </c>
      <c r="L258" s="701">
        <v>95.420000000000016</v>
      </c>
      <c r="M258" s="701">
        <v>2</v>
      </c>
      <c r="N258" s="702">
        <v>190.84000000000003</v>
      </c>
    </row>
    <row r="259" spans="1:14" ht="14.4" customHeight="1" x14ac:dyDescent="0.3">
      <c r="A259" s="696" t="s">
        <v>505</v>
      </c>
      <c r="B259" s="697" t="s">
        <v>506</v>
      </c>
      <c r="C259" s="698" t="s">
        <v>519</v>
      </c>
      <c r="D259" s="699" t="s">
        <v>520</v>
      </c>
      <c r="E259" s="700">
        <v>50113001</v>
      </c>
      <c r="F259" s="699" t="s">
        <v>524</v>
      </c>
      <c r="G259" s="698" t="s">
        <v>525</v>
      </c>
      <c r="H259" s="698">
        <v>198757</v>
      </c>
      <c r="I259" s="698">
        <v>198757</v>
      </c>
      <c r="J259" s="698" t="s">
        <v>964</v>
      </c>
      <c r="K259" s="698" t="s">
        <v>965</v>
      </c>
      <c r="L259" s="701">
        <v>495.83615384615382</v>
      </c>
      <c r="M259" s="701">
        <v>26</v>
      </c>
      <c r="N259" s="702">
        <v>12891.74</v>
      </c>
    </row>
    <row r="260" spans="1:14" ht="14.4" customHeight="1" x14ac:dyDescent="0.3">
      <c r="A260" s="696" t="s">
        <v>505</v>
      </c>
      <c r="B260" s="697" t="s">
        <v>506</v>
      </c>
      <c r="C260" s="698" t="s">
        <v>519</v>
      </c>
      <c r="D260" s="699" t="s">
        <v>520</v>
      </c>
      <c r="E260" s="700">
        <v>50113001</v>
      </c>
      <c r="F260" s="699" t="s">
        <v>524</v>
      </c>
      <c r="G260" s="698" t="s">
        <v>525</v>
      </c>
      <c r="H260" s="698">
        <v>850459</v>
      </c>
      <c r="I260" s="698">
        <v>127760</v>
      </c>
      <c r="J260" s="698" t="s">
        <v>966</v>
      </c>
      <c r="K260" s="698" t="s">
        <v>967</v>
      </c>
      <c r="L260" s="701">
        <v>59.95</v>
      </c>
      <c r="M260" s="701">
        <v>1</v>
      </c>
      <c r="N260" s="702">
        <v>59.95</v>
      </c>
    </row>
    <row r="261" spans="1:14" ht="14.4" customHeight="1" x14ac:dyDescent="0.3">
      <c r="A261" s="696" t="s">
        <v>505</v>
      </c>
      <c r="B261" s="697" t="s">
        <v>506</v>
      </c>
      <c r="C261" s="698" t="s">
        <v>519</v>
      </c>
      <c r="D261" s="699" t="s">
        <v>520</v>
      </c>
      <c r="E261" s="700">
        <v>50113001</v>
      </c>
      <c r="F261" s="699" t="s">
        <v>524</v>
      </c>
      <c r="G261" s="698" t="s">
        <v>525</v>
      </c>
      <c r="H261" s="698">
        <v>850104</v>
      </c>
      <c r="I261" s="698">
        <v>164344</v>
      </c>
      <c r="J261" s="698" t="s">
        <v>968</v>
      </c>
      <c r="K261" s="698" t="s">
        <v>969</v>
      </c>
      <c r="L261" s="701">
        <v>227.49999999999997</v>
      </c>
      <c r="M261" s="701">
        <v>1</v>
      </c>
      <c r="N261" s="702">
        <v>227.49999999999997</v>
      </c>
    </row>
    <row r="262" spans="1:14" ht="14.4" customHeight="1" x14ac:dyDescent="0.3">
      <c r="A262" s="696" t="s">
        <v>505</v>
      </c>
      <c r="B262" s="697" t="s">
        <v>506</v>
      </c>
      <c r="C262" s="698" t="s">
        <v>519</v>
      </c>
      <c r="D262" s="699" t="s">
        <v>520</v>
      </c>
      <c r="E262" s="700">
        <v>50113001</v>
      </c>
      <c r="F262" s="699" t="s">
        <v>524</v>
      </c>
      <c r="G262" s="698" t="s">
        <v>525</v>
      </c>
      <c r="H262" s="698">
        <v>101125</v>
      </c>
      <c r="I262" s="698">
        <v>1125</v>
      </c>
      <c r="J262" s="698" t="s">
        <v>970</v>
      </c>
      <c r="K262" s="698" t="s">
        <v>971</v>
      </c>
      <c r="L262" s="701">
        <v>89.49</v>
      </c>
      <c r="M262" s="701">
        <v>5</v>
      </c>
      <c r="N262" s="702">
        <v>447.45</v>
      </c>
    </row>
    <row r="263" spans="1:14" ht="14.4" customHeight="1" x14ac:dyDescent="0.3">
      <c r="A263" s="696" t="s">
        <v>505</v>
      </c>
      <c r="B263" s="697" t="s">
        <v>506</v>
      </c>
      <c r="C263" s="698" t="s">
        <v>519</v>
      </c>
      <c r="D263" s="699" t="s">
        <v>520</v>
      </c>
      <c r="E263" s="700">
        <v>50113001</v>
      </c>
      <c r="F263" s="699" t="s">
        <v>524</v>
      </c>
      <c r="G263" s="698" t="s">
        <v>525</v>
      </c>
      <c r="H263" s="698">
        <v>101127</v>
      </c>
      <c r="I263" s="698">
        <v>1127</v>
      </c>
      <c r="J263" s="698" t="s">
        <v>970</v>
      </c>
      <c r="K263" s="698" t="s">
        <v>972</v>
      </c>
      <c r="L263" s="701">
        <v>99.689265306122408</v>
      </c>
      <c r="M263" s="701">
        <v>245</v>
      </c>
      <c r="N263" s="702">
        <v>24423.869999999992</v>
      </c>
    </row>
    <row r="264" spans="1:14" ht="14.4" customHeight="1" x14ac:dyDescent="0.3">
      <c r="A264" s="696" t="s">
        <v>505</v>
      </c>
      <c r="B264" s="697" t="s">
        <v>506</v>
      </c>
      <c r="C264" s="698" t="s">
        <v>519</v>
      </c>
      <c r="D264" s="699" t="s">
        <v>520</v>
      </c>
      <c r="E264" s="700">
        <v>50113001</v>
      </c>
      <c r="F264" s="699" t="s">
        <v>524</v>
      </c>
      <c r="G264" s="698" t="s">
        <v>525</v>
      </c>
      <c r="H264" s="698">
        <v>501455</v>
      </c>
      <c r="I264" s="698">
        <v>0</v>
      </c>
      <c r="J264" s="698" t="s">
        <v>973</v>
      </c>
      <c r="K264" s="698" t="s">
        <v>974</v>
      </c>
      <c r="L264" s="701">
        <v>80.37</v>
      </c>
      <c r="M264" s="701">
        <v>20</v>
      </c>
      <c r="N264" s="702">
        <v>1607.4</v>
      </c>
    </row>
    <row r="265" spans="1:14" ht="14.4" customHeight="1" x14ac:dyDescent="0.3">
      <c r="A265" s="696" t="s">
        <v>505</v>
      </c>
      <c r="B265" s="697" t="s">
        <v>506</v>
      </c>
      <c r="C265" s="698" t="s">
        <v>519</v>
      </c>
      <c r="D265" s="699" t="s">
        <v>520</v>
      </c>
      <c r="E265" s="700">
        <v>50113001</v>
      </c>
      <c r="F265" s="699" t="s">
        <v>524</v>
      </c>
      <c r="G265" s="698" t="s">
        <v>525</v>
      </c>
      <c r="H265" s="698">
        <v>223159</v>
      </c>
      <c r="I265" s="698">
        <v>223159</v>
      </c>
      <c r="J265" s="698" t="s">
        <v>975</v>
      </c>
      <c r="K265" s="698" t="s">
        <v>976</v>
      </c>
      <c r="L265" s="701">
        <v>73.073109756097566</v>
      </c>
      <c r="M265" s="701">
        <v>164</v>
      </c>
      <c r="N265" s="702">
        <v>11983.990000000002</v>
      </c>
    </row>
    <row r="266" spans="1:14" ht="14.4" customHeight="1" x14ac:dyDescent="0.3">
      <c r="A266" s="696" t="s">
        <v>505</v>
      </c>
      <c r="B266" s="697" t="s">
        <v>506</v>
      </c>
      <c r="C266" s="698" t="s">
        <v>519</v>
      </c>
      <c r="D266" s="699" t="s">
        <v>520</v>
      </c>
      <c r="E266" s="700">
        <v>50113001</v>
      </c>
      <c r="F266" s="699" t="s">
        <v>524</v>
      </c>
      <c r="G266" s="698" t="s">
        <v>507</v>
      </c>
      <c r="H266" s="698">
        <v>223151</v>
      </c>
      <c r="I266" s="698">
        <v>223151</v>
      </c>
      <c r="J266" s="698" t="s">
        <v>977</v>
      </c>
      <c r="K266" s="698" t="s">
        <v>978</v>
      </c>
      <c r="L266" s="701">
        <v>97.6</v>
      </c>
      <c r="M266" s="701">
        <v>10</v>
      </c>
      <c r="N266" s="702">
        <v>976</v>
      </c>
    </row>
    <row r="267" spans="1:14" ht="14.4" customHeight="1" x14ac:dyDescent="0.3">
      <c r="A267" s="696" t="s">
        <v>505</v>
      </c>
      <c r="B267" s="697" t="s">
        <v>506</v>
      </c>
      <c r="C267" s="698" t="s">
        <v>519</v>
      </c>
      <c r="D267" s="699" t="s">
        <v>520</v>
      </c>
      <c r="E267" s="700">
        <v>50113001</v>
      </c>
      <c r="F267" s="699" t="s">
        <v>524</v>
      </c>
      <c r="G267" s="698" t="s">
        <v>525</v>
      </c>
      <c r="H267" s="698">
        <v>157525</v>
      </c>
      <c r="I267" s="698">
        <v>57525</v>
      </c>
      <c r="J267" s="698" t="s">
        <v>979</v>
      </c>
      <c r="K267" s="698" t="s">
        <v>980</v>
      </c>
      <c r="L267" s="701">
        <v>97.53</v>
      </c>
      <c r="M267" s="701">
        <v>1</v>
      </c>
      <c r="N267" s="702">
        <v>97.53</v>
      </c>
    </row>
    <row r="268" spans="1:14" ht="14.4" customHeight="1" x14ac:dyDescent="0.3">
      <c r="A268" s="696" t="s">
        <v>505</v>
      </c>
      <c r="B268" s="697" t="s">
        <v>506</v>
      </c>
      <c r="C268" s="698" t="s">
        <v>519</v>
      </c>
      <c r="D268" s="699" t="s">
        <v>520</v>
      </c>
      <c r="E268" s="700">
        <v>50113001</v>
      </c>
      <c r="F268" s="699" t="s">
        <v>524</v>
      </c>
      <c r="G268" s="698" t="s">
        <v>525</v>
      </c>
      <c r="H268" s="698">
        <v>194763</v>
      </c>
      <c r="I268" s="698">
        <v>94763</v>
      </c>
      <c r="J268" s="698" t="s">
        <v>981</v>
      </c>
      <c r="K268" s="698" t="s">
        <v>982</v>
      </c>
      <c r="L268" s="701">
        <v>83.799999999999983</v>
      </c>
      <c r="M268" s="701">
        <v>2</v>
      </c>
      <c r="N268" s="702">
        <v>167.59999999999997</v>
      </c>
    </row>
    <row r="269" spans="1:14" ht="14.4" customHeight="1" x14ac:dyDescent="0.3">
      <c r="A269" s="696" t="s">
        <v>505</v>
      </c>
      <c r="B269" s="697" t="s">
        <v>506</v>
      </c>
      <c r="C269" s="698" t="s">
        <v>519</v>
      </c>
      <c r="D269" s="699" t="s">
        <v>520</v>
      </c>
      <c r="E269" s="700">
        <v>50113001</v>
      </c>
      <c r="F269" s="699" t="s">
        <v>524</v>
      </c>
      <c r="G269" s="698" t="s">
        <v>525</v>
      </c>
      <c r="H269" s="698">
        <v>119685</v>
      </c>
      <c r="I269" s="698">
        <v>119685</v>
      </c>
      <c r="J269" s="698" t="s">
        <v>983</v>
      </c>
      <c r="K269" s="698" t="s">
        <v>984</v>
      </c>
      <c r="L269" s="701">
        <v>57.210000000000043</v>
      </c>
      <c r="M269" s="701">
        <v>2</v>
      </c>
      <c r="N269" s="702">
        <v>114.42000000000009</v>
      </c>
    </row>
    <row r="270" spans="1:14" ht="14.4" customHeight="1" x14ac:dyDescent="0.3">
      <c r="A270" s="696" t="s">
        <v>505</v>
      </c>
      <c r="B270" s="697" t="s">
        <v>506</v>
      </c>
      <c r="C270" s="698" t="s">
        <v>519</v>
      </c>
      <c r="D270" s="699" t="s">
        <v>520</v>
      </c>
      <c r="E270" s="700">
        <v>50113001</v>
      </c>
      <c r="F270" s="699" t="s">
        <v>524</v>
      </c>
      <c r="G270" s="698" t="s">
        <v>525</v>
      </c>
      <c r="H270" s="698">
        <v>100513</v>
      </c>
      <c r="I270" s="698">
        <v>513</v>
      </c>
      <c r="J270" s="698" t="s">
        <v>985</v>
      </c>
      <c r="K270" s="698" t="s">
        <v>634</v>
      </c>
      <c r="L270" s="701">
        <v>56.781768707483003</v>
      </c>
      <c r="M270" s="701">
        <v>147</v>
      </c>
      <c r="N270" s="702">
        <v>8346.9200000000019</v>
      </c>
    </row>
    <row r="271" spans="1:14" ht="14.4" customHeight="1" x14ac:dyDescent="0.3">
      <c r="A271" s="696" t="s">
        <v>505</v>
      </c>
      <c r="B271" s="697" t="s">
        <v>506</v>
      </c>
      <c r="C271" s="698" t="s">
        <v>519</v>
      </c>
      <c r="D271" s="699" t="s">
        <v>520</v>
      </c>
      <c r="E271" s="700">
        <v>50113001</v>
      </c>
      <c r="F271" s="699" t="s">
        <v>524</v>
      </c>
      <c r="G271" s="698" t="s">
        <v>525</v>
      </c>
      <c r="H271" s="698">
        <v>100516</v>
      </c>
      <c r="I271" s="698">
        <v>516</v>
      </c>
      <c r="J271" s="698" t="s">
        <v>986</v>
      </c>
      <c r="K271" s="698" t="s">
        <v>640</v>
      </c>
      <c r="L271" s="701">
        <v>98.360000000000014</v>
      </c>
      <c r="M271" s="701">
        <v>1</v>
      </c>
      <c r="N271" s="702">
        <v>98.360000000000014</v>
      </c>
    </row>
    <row r="272" spans="1:14" ht="14.4" customHeight="1" x14ac:dyDescent="0.3">
      <c r="A272" s="696" t="s">
        <v>505</v>
      </c>
      <c r="B272" s="697" t="s">
        <v>506</v>
      </c>
      <c r="C272" s="698" t="s">
        <v>519</v>
      </c>
      <c r="D272" s="699" t="s">
        <v>520</v>
      </c>
      <c r="E272" s="700">
        <v>50113001</v>
      </c>
      <c r="F272" s="699" t="s">
        <v>524</v>
      </c>
      <c r="G272" s="698" t="s">
        <v>525</v>
      </c>
      <c r="H272" s="698">
        <v>100527</v>
      </c>
      <c r="I272" s="698">
        <v>527</v>
      </c>
      <c r="J272" s="698" t="s">
        <v>987</v>
      </c>
      <c r="K272" s="698" t="s">
        <v>988</v>
      </c>
      <c r="L272" s="701">
        <v>136.54500000000002</v>
      </c>
      <c r="M272" s="701">
        <v>2</v>
      </c>
      <c r="N272" s="702">
        <v>273.09000000000003</v>
      </c>
    </row>
    <row r="273" spans="1:14" ht="14.4" customHeight="1" x14ac:dyDescent="0.3">
      <c r="A273" s="696" t="s">
        <v>505</v>
      </c>
      <c r="B273" s="697" t="s">
        <v>506</v>
      </c>
      <c r="C273" s="698" t="s">
        <v>519</v>
      </c>
      <c r="D273" s="699" t="s">
        <v>520</v>
      </c>
      <c r="E273" s="700">
        <v>50113001</v>
      </c>
      <c r="F273" s="699" t="s">
        <v>524</v>
      </c>
      <c r="G273" s="698" t="s">
        <v>525</v>
      </c>
      <c r="H273" s="698">
        <v>110086</v>
      </c>
      <c r="I273" s="698">
        <v>10086</v>
      </c>
      <c r="J273" s="698" t="s">
        <v>989</v>
      </c>
      <c r="K273" s="698" t="s">
        <v>990</v>
      </c>
      <c r="L273" s="701">
        <v>1592.8000000000002</v>
      </c>
      <c r="M273" s="701">
        <v>221</v>
      </c>
      <c r="N273" s="702">
        <v>352008.80000000005</v>
      </c>
    </row>
    <row r="274" spans="1:14" ht="14.4" customHeight="1" x14ac:dyDescent="0.3">
      <c r="A274" s="696" t="s">
        <v>505</v>
      </c>
      <c r="B274" s="697" t="s">
        <v>506</v>
      </c>
      <c r="C274" s="698" t="s">
        <v>519</v>
      </c>
      <c r="D274" s="699" t="s">
        <v>520</v>
      </c>
      <c r="E274" s="700">
        <v>50113001</v>
      </c>
      <c r="F274" s="699" t="s">
        <v>524</v>
      </c>
      <c r="G274" s="698" t="s">
        <v>546</v>
      </c>
      <c r="H274" s="698">
        <v>191788</v>
      </c>
      <c r="I274" s="698">
        <v>91788</v>
      </c>
      <c r="J274" s="698" t="s">
        <v>991</v>
      </c>
      <c r="K274" s="698" t="s">
        <v>698</v>
      </c>
      <c r="L274" s="701">
        <v>9.136000000000001</v>
      </c>
      <c r="M274" s="701">
        <v>5</v>
      </c>
      <c r="N274" s="702">
        <v>45.680000000000007</v>
      </c>
    </row>
    <row r="275" spans="1:14" ht="14.4" customHeight="1" x14ac:dyDescent="0.3">
      <c r="A275" s="696" t="s">
        <v>505</v>
      </c>
      <c r="B275" s="697" t="s">
        <v>506</v>
      </c>
      <c r="C275" s="698" t="s">
        <v>519</v>
      </c>
      <c r="D275" s="699" t="s">
        <v>520</v>
      </c>
      <c r="E275" s="700">
        <v>50113001</v>
      </c>
      <c r="F275" s="699" t="s">
        <v>524</v>
      </c>
      <c r="G275" s="698" t="s">
        <v>546</v>
      </c>
      <c r="H275" s="698">
        <v>106618</v>
      </c>
      <c r="I275" s="698">
        <v>6618</v>
      </c>
      <c r="J275" s="698" t="s">
        <v>992</v>
      </c>
      <c r="K275" s="698" t="s">
        <v>993</v>
      </c>
      <c r="L275" s="701">
        <v>19.618666666666666</v>
      </c>
      <c r="M275" s="701">
        <v>30</v>
      </c>
      <c r="N275" s="702">
        <v>588.55999999999995</v>
      </c>
    </row>
    <row r="276" spans="1:14" ht="14.4" customHeight="1" x14ac:dyDescent="0.3">
      <c r="A276" s="696" t="s">
        <v>505</v>
      </c>
      <c r="B276" s="697" t="s">
        <v>506</v>
      </c>
      <c r="C276" s="698" t="s">
        <v>519</v>
      </c>
      <c r="D276" s="699" t="s">
        <v>520</v>
      </c>
      <c r="E276" s="700">
        <v>50113001</v>
      </c>
      <c r="F276" s="699" t="s">
        <v>524</v>
      </c>
      <c r="G276" s="698" t="s">
        <v>525</v>
      </c>
      <c r="H276" s="698">
        <v>184398</v>
      </c>
      <c r="I276" s="698">
        <v>84398</v>
      </c>
      <c r="J276" s="698" t="s">
        <v>994</v>
      </c>
      <c r="K276" s="698" t="s">
        <v>995</v>
      </c>
      <c r="L276" s="701">
        <v>411.93000000000018</v>
      </c>
      <c r="M276" s="701">
        <v>1</v>
      </c>
      <c r="N276" s="702">
        <v>411.93000000000018</v>
      </c>
    </row>
    <row r="277" spans="1:14" ht="14.4" customHeight="1" x14ac:dyDescent="0.3">
      <c r="A277" s="696" t="s">
        <v>505</v>
      </c>
      <c r="B277" s="697" t="s">
        <v>506</v>
      </c>
      <c r="C277" s="698" t="s">
        <v>519</v>
      </c>
      <c r="D277" s="699" t="s">
        <v>520</v>
      </c>
      <c r="E277" s="700">
        <v>50113001</v>
      </c>
      <c r="F277" s="699" t="s">
        <v>524</v>
      </c>
      <c r="G277" s="698" t="s">
        <v>525</v>
      </c>
      <c r="H277" s="698">
        <v>184399</v>
      </c>
      <c r="I277" s="698">
        <v>84399</v>
      </c>
      <c r="J277" s="698" t="s">
        <v>996</v>
      </c>
      <c r="K277" s="698" t="s">
        <v>997</v>
      </c>
      <c r="L277" s="701">
        <v>320.25000000000023</v>
      </c>
      <c r="M277" s="701">
        <v>1</v>
      </c>
      <c r="N277" s="702">
        <v>320.25000000000023</v>
      </c>
    </row>
    <row r="278" spans="1:14" ht="14.4" customHeight="1" x14ac:dyDescent="0.3">
      <c r="A278" s="696" t="s">
        <v>505</v>
      </c>
      <c r="B278" s="697" t="s">
        <v>506</v>
      </c>
      <c r="C278" s="698" t="s">
        <v>519</v>
      </c>
      <c r="D278" s="699" t="s">
        <v>520</v>
      </c>
      <c r="E278" s="700">
        <v>50113001</v>
      </c>
      <c r="F278" s="699" t="s">
        <v>524</v>
      </c>
      <c r="G278" s="698" t="s">
        <v>525</v>
      </c>
      <c r="H278" s="698">
        <v>136129</v>
      </c>
      <c r="I278" s="698">
        <v>136129</v>
      </c>
      <c r="J278" s="698" t="s">
        <v>998</v>
      </c>
      <c r="K278" s="698" t="s">
        <v>999</v>
      </c>
      <c r="L278" s="701">
        <v>438.02499999999998</v>
      </c>
      <c r="M278" s="701">
        <v>14</v>
      </c>
      <c r="N278" s="702">
        <v>6132.3499999999995</v>
      </c>
    </row>
    <row r="279" spans="1:14" ht="14.4" customHeight="1" x14ac:dyDescent="0.3">
      <c r="A279" s="696" t="s">
        <v>505</v>
      </c>
      <c r="B279" s="697" t="s">
        <v>506</v>
      </c>
      <c r="C279" s="698" t="s">
        <v>519</v>
      </c>
      <c r="D279" s="699" t="s">
        <v>520</v>
      </c>
      <c r="E279" s="700">
        <v>50113001</v>
      </c>
      <c r="F279" s="699" t="s">
        <v>524</v>
      </c>
      <c r="G279" s="698" t="s">
        <v>525</v>
      </c>
      <c r="H279" s="698">
        <v>136126</v>
      </c>
      <c r="I279" s="698">
        <v>136126</v>
      </c>
      <c r="J279" s="698" t="s">
        <v>1000</v>
      </c>
      <c r="K279" s="698" t="s">
        <v>1001</v>
      </c>
      <c r="L279" s="701">
        <v>436.06142857142856</v>
      </c>
      <c r="M279" s="701">
        <v>14</v>
      </c>
      <c r="N279" s="702">
        <v>6104.86</v>
      </c>
    </row>
    <row r="280" spans="1:14" ht="14.4" customHeight="1" x14ac:dyDescent="0.3">
      <c r="A280" s="696" t="s">
        <v>505</v>
      </c>
      <c r="B280" s="697" t="s">
        <v>506</v>
      </c>
      <c r="C280" s="698" t="s">
        <v>519</v>
      </c>
      <c r="D280" s="699" t="s">
        <v>520</v>
      </c>
      <c r="E280" s="700">
        <v>50113001</v>
      </c>
      <c r="F280" s="699" t="s">
        <v>524</v>
      </c>
      <c r="G280" s="698" t="s">
        <v>507</v>
      </c>
      <c r="H280" s="698">
        <v>117187</v>
      </c>
      <c r="I280" s="698">
        <v>17187</v>
      </c>
      <c r="J280" s="698" t="s">
        <v>1002</v>
      </c>
      <c r="K280" s="698" t="s">
        <v>1003</v>
      </c>
      <c r="L280" s="701">
        <v>89.08</v>
      </c>
      <c r="M280" s="701">
        <v>1</v>
      </c>
      <c r="N280" s="702">
        <v>89.08</v>
      </c>
    </row>
    <row r="281" spans="1:14" ht="14.4" customHeight="1" x14ac:dyDescent="0.3">
      <c r="A281" s="696" t="s">
        <v>505</v>
      </c>
      <c r="B281" s="697" t="s">
        <v>506</v>
      </c>
      <c r="C281" s="698" t="s">
        <v>519</v>
      </c>
      <c r="D281" s="699" t="s">
        <v>520</v>
      </c>
      <c r="E281" s="700">
        <v>50113001</v>
      </c>
      <c r="F281" s="699" t="s">
        <v>524</v>
      </c>
      <c r="G281" s="698" t="s">
        <v>525</v>
      </c>
      <c r="H281" s="698">
        <v>83538</v>
      </c>
      <c r="I281" s="698">
        <v>83538</v>
      </c>
      <c r="J281" s="698" t="s">
        <v>1004</v>
      </c>
      <c r="K281" s="698" t="s">
        <v>1005</v>
      </c>
      <c r="L281" s="701">
        <v>164.07000000000002</v>
      </c>
      <c r="M281" s="701">
        <v>4</v>
      </c>
      <c r="N281" s="702">
        <v>656.28000000000009</v>
      </c>
    </row>
    <row r="282" spans="1:14" ht="14.4" customHeight="1" x14ac:dyDescent="0.3">
      <c r="A282" s="696" t="s">
        <v>505</v>
      </c>
      <c r="B282" s="697" t="s">
        <v>506</v>
      </c>
      <c r="C282" s="698" t="s">
        <v>519</v>
      </c>
      <c r="D282" s="699" t="s">
        <v>520</v>
      </c>
      <c r="E282" s="700">
        <v>50113001</v>
      </c>
      <c r="F282" s="699" t="s">
        <v>524</v>
      </c>
      <c r="G282" s="698" t="s">
        <v>525</v>
      </c>
      <c r="H282" s="698">
        <v>100536</v>
      </c>
      <c r="I282" s="698">
        <v>536</v>
      </c>
      <c r="J282" s="698" t="s">
        <v>1006</v>
      </c>
      <c r="K282" s="698" t="s">
        <v>540</v>
      </c>
      <c r="L282" s="701">
        <v>140.24000000000004</v>
      </c>
      <c r="M282" s="701">
        <v>61</v>
      </c>
      <c r="N282" s="702">
        <v>8554.6400000000031</v>
      </c>
    </row>
    <row r="283" spans="1:14" ht="14.4" customHeight="1" x14ac:dyDescent="0.3">
      <c r="A283" s="696" t="s">
        <v>505</v>
      </c>
      <c r="B283" s="697" t="s">
        <v>506</v>
      </c>
      <c r="C283" s="698" t="s">
        <v>519</v>
      </c>
      <c r="D283" s="699" t="s">
        <v>520</v>
      </c>
      <c r="E283" s="700">
        <v>50113001</v>
      </c>
      <c r="F283" s="699" t="s">
        <v>524</v>
      </c>
      <c r="G283" s="698" t="s">
        <v>525</v>
      </c>
      <c r="H283" s="698">
        <v>216900</v>
      </c>
      <c r="I283" s="698">
        <v>216900</v>
      </c>
      <c r="J283" s="698" t="s">
        <v>1007</v>
      </c>
      <c r="K283" s="698" t="s">
        <v>1008</v>
      </c>
      <c r="L283" s="701">
        <v>701.28678111587976</v>
      </c>
      <c r="M283" s="701">
        <v>699</v>
      </c>
      <c r="N283" s="702">
        <v>490199.45999999996</v>
      </c>
    </row>
    <row r="284" spans="1:14" ht="14.4" customHeight="1" x14ac:dyDescent="0.3">
      <c r="A284" s="696" t="s">
        <v>505</v>
      </c>
      <c r="B284" s="697" t="s">
        <v>506</v>
      </c>
      <c r="C284" s="698" t="s">
        <v>519</v>
      </c>
      <c r="D284" s="699" t="s">
        <v>520</v>
      </c>
      <c r="E284" s="700">
        <v>50113001</v>
      </c>
      <c r="F284" s="699" t="s">
        <v>524</v>
      </c>
      <c r="G284" s="698" t="s">
        <v>525</v>
      </c>
      <c r="H284" s="698">
        <v>216963</v>
      </c>
      <c r="I284" s="698">
        <v>216963</v>
      </c>
      <c r="J284" s="698" t="s">
        <v>1009</v>
      </c>
      <c r="K284" s="698" t="s">
        <v>1010</v>
      </c>
      <c r="L284" s="701">
        <v>111.89000000000001</v>
      </c>
      <c r="M284" s="701">
        <v>2</v>
      </c>
      <c r="N284" s="702">
        <v>223.78000000000003</v>
      </c>
    </row>
    <row r="285" spans="1:14" ht="14.4" customHeight="1" x14ac:dyDescent="0.3">
      <c r="A285" s="696" t="s">
        <v>505</v>
      </c>
      <c r="B285" s="697" t="s">
        <v>506</v>
      </c>
      <c r="C285" s="698" t="s">
        <v>519</v>
      </c>
      <c r="D285" s="699" t="s">
        <v>520</v>
      </c>
      <c r="E285" s="700">
        <v>50113001</v>
      </c>
      <c r="F285" s="699" t="s">
        <v>524</v>
      </c>
      <c r="G285" s="698" t="s">
        <v>546</v>
      </c>
      <c r="H285" s="698">
        <v>107981</v>
      </c>
      <c r="I285" s="698">
        <v>7981</v>
      </c>
      <c r="J285" s="698" t="s">
        <v>1011</v>
      </c>
      <c r="K285" s="698" t="s">
        <v>1012</v>
      </c>
      <c r="L285" s="701">
        <v>50.662007722007736</v>
      </c>
      <c r="M285" s="701">
        <v>518</v>
      </c>
      <c r="N285" s="702">
        <v>26242.920000000009</v>
      </c>
    </row>
    <row r="286" spans="1:14" ht="14.4" customHeight="1" x14ac:dyDescent="0.3">
      <c r="A286" s="696" t="s">
        <v>505</v>
      </c>
      <c r="B286" s="697" t="s">
        <v>506</v>
      </c>
      <c r="C286" s="698" t="s">
        <v>519</v>
      </c>
      <c r="D286" s="699" t="s">
        <v>520</v>
      </c>
      <c r="E286" s="700">
        <v>50113001</v>
      </c>
      <c r="F286" s="699" t="s">
        <v>524</v>
      </c>
      <c r="G286" s="698" t="s">
        <v>546</v>
      </c>
      <c r="H286" s="698">
        <v>155824</v>
      </c>
      <c r="I286" s="698">
        <v>55824</v>
      </c>
      <c r="J286" s="698" t="s">
        <v>1011</v>
      </c>
      <c r="K286" s="698" t="s">
        <v>1013</v>
      </c>
      <c r="L286" s="701">
        <v>0</v>
      </c>
      <c r="M286" s="701">
        <v>0</v>
      </c>
      <c r="N286" s="702">
        <v>0</v>
      </c>
    </row>
    <row r="287" spans="1:14" ht="14.4" customHeight="1" x14ac:dyDescent="0.3">
      <c r="A287" s="696" t="s">
        <v>505</v>
      </c>
      <c r="B287" s="697" t="s">
        <v>506</v>
      </c>
      <c r="C287" s="698" t="s">
        <v>519</v>
      </c>
      <c r="D287" s="699" t="s">
        <v>520</v>
      </c>
      <c r="E287" s="700">
        <v>50113001</v>
      </c>
      <c r="F287" s="699" t="s">
        <v>524</v>
      </c>
      <c r="G287" s="698" t="s">
        <v>546</v>
      </c>
      <c r="H287" s="698">
        <v>155823</v>
      </c>
      <c r="I287" s="698">
        <v>55823</v>
      </c>
      <c r="J287" s="698" t="s">
        <v>1014</v>
      </c>
      <c r="K287" s="698" t="s">
        <v>1015</v>
      </c>
      <c r="L287" s="701">
        <v>33.47380949137866</v>
      </c>
      <c r="M287" s="701">
        <v>21</v>
      </c>
      <c r="N287" s="702">
        <v>702.94999931895188</v>
      </c>
    </row>
    <row r="288" spans="1:14" ht="14.4" customHeight="1" x14ac:dyDescent="0.3">
      <c r="A288" s="696" t="s">
        <v>505</v>
      </c>
      <c r="B288" s="697" t="s">
        <v>506</v>
      </c>
      <c r="C288" s="698" t="s">
        <v>519</v>
      </c>
      <c r="D288" s="699" t="s">
        <v>520</v>
      </c>
      <c r="E288" s="700">
        <v>50113001</v>
      </c>
      <c r="F288" s="699" t="s">
        <v>524</v>
      </c>
      <c r="G288" s="698" t="s">
        <v>546</v>
      </c>
      <c r="H288" s="698">
        <v>126786</v>
      </c>
      <c r="I288" s="698">
        <v>26786</v>
      </c>
      <c r="J288" s="698" t="s">
        <v>1016</v>
      </c>
      <c r="K288" s="698" t="s">
        <v>1017</v>
      </c>
      <c r="L288" s="701">
        <v>406.31096385542173</v>
      </c>
      <c r="M288" s="701">
        <v>83</v>
      </c>
      <c r="N288" s="702">
        <v>33723.810000000005</v>
      </c>
    </row>
    <row r="289" spans="1:14" ht="14.4" customHeight="1" x14ac:dyDescent="0.3">
      <c r="A289" s="696" t="s">
        <v>505</v>
      </c>
      <c r="B289" s="697" t="s">
        <v>506</v>
      </c>
      <c r="C289" s="698" t="s">
        <v>519</v>
      </c>
      <c r="D289" s="699" t="s">
        <v>520</v>
      </c>
      <c r="E289" s="700">
        <v>50113001</v>
      </c>
      <c r="F289" s="699" t="s">
        <v>524</v>
      </c>
      <c r="G289" s="698" t="s">
        <v>525</v>
      </c>
      <c r="H289" s="698">
        <v>125907</v>
      </c>
      <c r="I289" s="698">
        <v>125907</v>
      </c>
      <c r="J289" s="698" t="s">
        <v>1018</v>
      </c>
      <c r="K289" s="698" t="s">
        <v>1019</v>
      </c>
      <c r="L289" s="701">
        <v>682</v>
      </c>
      <c r="M289" s="701">
        <v>182</v>
      </c>
      <c r="N289" s="702">
        <v>124124</v>
      </c>
    </row>
    <row r="290" spans="1:14" ht="14.4" customHeight="1" x14ac:dyDescent="0.3">
      <c r="A290" s="696" t="s">
        <v>505</v>
      </c>
      <c r="B290" s="697" t="s">
        <v>506</v>
      </c>
      <c r="C290" s="698" t="s">
        <v>519</v>
      </c>
      <c r="D290" s="699" t="s">
        <v>520</v>
      </c>
      <c r="E290" s="700">
        <v>50113001</v>
      </c>
      <c r="F290" s="699" t="s">
        <v>524</v>
      </c>
      <c r="G290" s="698" t="s">
        <v>525</v>
      </c>
      <c r="H290" s="698">
        <v>162579</v>
      </c>
      <c r="I290" s="698">
        <v>162579</v>
      </c>
      <c r="J290" s="698" t="s">
        <v>1020</v>
      </c>
      <c r="K290" s="698" t="s">
        <v>1021</v>
      </c>
      <c r="L290" s="701">
        <v>44.88</v>
      </c>
      <c r="M290" s="701">
        <v>14</v>
      </c>
      <c r="N290" s="702">
        <v>628.32000000000005</v>
      </c>
    </row>
    <row r="291" spans="1:14" ht="14.4" customHeight="1" x14ac:dyDescent="0.3">
      <c r="A291" s="696" t="s">
        <v>505</v>
      </c>
      <c r="B291" s="697" t="s">
        <v>506</v>
      </c>
      <c r="C291" s="698" t="s">
        <v>519</v>
      </c>
      <c r="D291" s="699" t="s">
        <v>520</v>
      </c>
      <c r="E291" s="700">
        <v>50113001</v>
      </c>
      <c r="F291" s="699" t="s">
        <v>524</v>
      </c>
      <c r="G291" s="698" t="s">
        <v>546</v>
      </c>
      <c r="H291" s="698">
        <v>187607</v>
      </c>
      <c r="I291" s="698">
        <v>187607</v>
      </c>
      <c r="J291" s="698" t="s">
        <v>1022</v>
      </c>
      <c r="K291" s="698" t="s">
        <v>1023</v>
      </c>
      <c r="L291" s="701">
        <v>273.89999999999998</v>
      </c>
      <c r="M291" s="701">
        <v>18</v>
      </c>
      <c r="N291" s="702">
        <v>4930.2</v>
      </c>
    </row>
    <row r="292" spans="1:14" ht="14.4" customHeight="1" x14ac:dyDescent="0.3">
      <c r="A292" s="696" t="s">
        <v>505</v>
      </c>
      <c r="B292" s="697" t="s">
        <v>506</v>
      </c>
      <c r="C292" s="698" t="s">
        <v>519</v>
      </c>
      <c r="D292" s="699" t="s">
        <v>520</v>
      </c>
      <c r="E292" s="700">
        <v>50113001</v>
      </c>
      <c r="F292" s="699" t="s">
        <v>524</v>
      </c>
      <c r="G292" s="698" t="s">
        <v>546</v>
      </c>
      <c r="H292" s="698">
        <v>111635</v>
      </c>
      <c r="I292" s="698">
        <v>11635</v>
      </c>
      <c r="J292" s="698" t="s">
        <v>1024</v>
      </c>
      <c r="K292" s="698" t="s">
        <v>1025</v>
      </c>
      <c r="L292" s="701">
        <v>339.56000000000006</v>
      </c>
      <c r="M292" s="701">
        <v>1</v>
      </c>
      <c r="N292" s="702">
        <v>339.56000000000006</v>
      </c>
    </row>
    <row r="293" spans="1:14" ht="14.4" customHeight="1" x14ac:dyDescent="0.3">
      <c r="A293" s="696" t="s">
        <v>505</v>
      </c>
      <c r="B293" s="697" t="s">
        <v>506</v>
      </c>
      <c r="C293" s="698" t="s">
        <v>519</v>
      </c>
      <c r="D293" s="699" t="s">
        <v>520</v>
      </c>
      <c r="E293" s="700">
        <v>50113001</v>
      </c>
      <c r="F293" s="699" t="s">
        <v>524</v>
      </c>
      <c r="G293" s="698" t="s">
        <v>525</v>
      </c>
      <c r="H293" s="698">
        <v>100874</v>
      </c>
      <c r="I293" s="698">
        <v>874</v>
      </c>
      <c r="J293" s="698" t="s">
        <v>1026</v>
      </c>
      <c r="K293" s="698" t="s">
        <v>1027</v>
      </c>
      <c r="L293" s="701">
        <v>52.096666666666643</v>
      </c>
      <c r="M293" s="701">
        <v>168</v>
      </c>
      <c r="N293" s="702">
        <v>8752.2399999999961</v>
      </c>
    </row>
    <row r="294" spans="1:14" ht="14.4" customHeight="1" x14ac:dyDescent="0.3">
      <c r="A294" s="696" t="s">
        <v>505</v>
      </c>
      <c r="B294" s="697" t="s">
        <v>506</v>
      </c>
      <c r="C294" s="698" t="s">
        <v>519</v>
      </c>
      <c r="D294" s="699" t="s">
        <v>520</v>
      </c>
      <c r="E294" s="700">
        <v>50113001</v>
      </c>
      <c r="F294" s="699" t="s">
        <v>524</v>
      </c>
      <c r="G294" s="698" t="s">
        <v>525</v>
      </c>
      <c r="H294" s="698">
        <v>200863</v>
      </c>
      <c r="I294" s="698">
        <v>200863</v>
      </c>
      <c r="J294" s="698" t="s">
        <v>1028</v>
      </c>
      <c r="K294" s="698" t="s">
        <v>1029</v>
      </c>
      <c r="L294" s="701">
        <v>85.441999999999993</v>
      </c>
      <c r="M294" s="701">
        <v>20</v>
      </c>
      <c r="N294" s="702">
        <v>1708.84</v>
      </c>
    </row>
    <row r="295" spans="1:14" ht="14.4" customHeight="1" x14ac:dyDescent="0.3">
      <c r="A295" s="696" t="s">
        <v>505</v>
      </c>
      <c r="B295" s="697" t="s">
        <v>506</v>
      </c>
      <c r="C295" s="698" t="s">
        <v>519</v>
      </c>
      <c r="D295" s="699" t="s">
        <v>520</v>
      </c>
      <c r="E295" s="700">
        <v>50113001</v>
      </c>
      <c r="F295" s="699" t="s">
        <v>524</v>
      </c>
      <c r="G295" s="698" t="s">
        <v>525</v>
      </c>
      <c r="H295" s="698">
        <v>100876</v>
      </c>
      <c r="I295" s="698">
        <v>876</v>
      </c>
      <c r="J295" s="698" t="s">
        <v>1028</v>
      </c>
      <c r="K295" s="698" t="s">
        <v>1027</v>
      </c>
      <c r="L295" s="701">
        <v>70.949850746268652</v>
      </c>
      <c r="M295" s="701">
        <v>67</v>
      </c>
      <c r="N295" s="702">
        <v>4753.6399999999994</v>
      </c>
    </row>
    <row r="296" spans="1:14" ht="14.4" customHeight="1" x14ac:dyDescent="0.3">
      <c r="A296" s="696" t="s">
        <v>505</v>
      </c>
      <c r="B296" s="697" t="s">
        <v>506</v>
      </c>
      <c r="C296" s="698" t="s">
        <v>519</v>
      </c>
      <c r="D296" s="699" t="s">
        <v>520</v>
      </c>
      <c r="E296" s="700">
        <v>50113001</v>
      </c>
      <c r="F296" s="699" t="s">
        <v>524</v>
      </c>
      <c r="G296" s="698" t="s">
        <v>525</v>
      </c>
      <c r="H296" s="698">
        <v>184700</v>
      </c>
      <c r="I296" s="698">
        <v>84700</v>
      </c>
      <c r="J296" s="698" t="s">
        <v>1030</v>
      </c>
      <c r="K296" s="698" t="s">
        <v>1031</v>
      </c>
      <c r="L296" s="701">
        <v>111.52000000000002</v>
      </c>
      <c r="M296" s="701">
        <v>3</v>
      </c>
      <c r="N296" s="702">
        <v>334.56000000000006</v>
      </c>
    </row>
    <row r="297" spans="1:14" ht="14.4" customHeight="1" x14ac:dyDescent="0.3">
      <c r="A297" s="696" t="s">
        <v>505</v>
      </c>
      <c r="B297" s="697" t="s">
        <v>506</v>
      </c>
      <c r="C297" s="698" t="s">
        <v>519</v>
      </c>
      <c r="D297" s="699" t="s">
        <v>520</v>
      </c>
      <c r="E297" s="700">
        <v>50113001</v>
      </c>
      <c r="F297" s="699" t="s">
        <v>524</v>
      </c>
      <c r="G297" s="698" t="s">
        <v>525</v>
      </c>
      <c r="H297" s="698">
        <v>186666</v>
      </c>
      <c r="I297" s="698">
        <v>186666</v>
      </c>
      <c r="J297" s="698" t="s">
        <v>1032</v>
      </c>
      <c r="K297" s="698" t="s">
        <v>1033</v>
      </c>
      <c r="L297" s="701">
        <v>151.34</v>
      </c>
      <c r="M297" s="701">
        <v>2</v>
      </c>
      <c r="N297" s="702">
        <v>302.68</v>
      </c>
    </row>
    <row r="298" spans="1:14" ht="14.4" customHeight="1" x14ac:dyDescent="0.3">
      <c r="A298" s="696" t="s">
        <v>505</v>
      </c>
      <c r="B298" s="697" t="s">
        <v>506</v>
      </c>
      <c r="C298" s="698" t="s">
        <v>519</v>
      </c>
      <c r="D298" s="699" t="s">
        <v>520</v>
      </c>
      <c r="E298" s="700">
        <v>50113001</v>
      </c>
      <c r="F298" s="699" t="s">
        <v>524</v>
      </c>
      <c r="G298" s="698" t="s">
        <v>525</v>
      </c>
      <c r="H298" s="698">
        <v>157351</v>
      </c>
      <c r="I298" s="698">
        <v>57351</v>
      </c>
      <c r="J298" s="698" t="s">
        <v>1034</v>
      </c>
      <c r="K298" s="698" t="s">
        <v>1035</v>
      </c>
      <c r="L298" s="701">
        <v>47.440000000000005</v>
      </c>
      <c r="M298" s="701">
        <v>8</v>
      </c>
      <c r="N298" s="702">
        <v>379.52000000000004</v>
      </c>
    </row>
    <row r="299" spans="1:14" ht="14.4" customHeight="1" x14ac:dyDescent="0.3">
      <c r="A299" s="696" t="s">
        <v>505</v>
      </c>
      <c r="B299" s="697" t="s">
        <v>506</v>
      </c>
      <c r="C299" s="698" t="s">
        <v>519</v>
      </c>
      <c r="D299" s="699" t="s">
        <v>520</v>
      </c>
      <c r="E299" s="700">
        <v>50113001</v>
      </c>
      <c r="F299" s="699" t="s">
        <v>524</v>
      </c>
      <c r="G299" s="698" t="s">
        <v>525</v>
      </c>
      <c r="H299" s="698">
        <v>101940</v>
      </c>
      <c r="I299" s="698">
        <v>1940</v>
      </c>
      <c r="J299" s="698" t="s">
        <v>1036</v>
      </c>
      <c r="K299" s="698" t="s">
        <v>1037</v>
      </c>
      <c r="L299" s="701">
        <v>34.85</v>
      </c>
      <c r="M299" s="701">
        <v>1</v>
      </c>
      <c r="N299" s="702">
        <v>34.85</v>
      </c>
    </row>
    <row r="300" spans="1:14" ht="14.4" customHeight="1" x14ac:dyDescent="0.3">
      <c r="A300" s="696" t="s">
        <v>505</v>
      </c>
      <c r="B300" s="697" t="s">
        <v>506</v>
      </c>
      <c r="C300" s="698" t="s">
        <v>519</v>
      </c>
      <c r="D300" s="699" t="s">
        <v>520</v>
      </c>
      <c r="E300" s="700">
        <v>50113001</v>
      </c>
      <c r="F300" s="699" t="s">
        <v>524</v>
      </c>
      <c r="G300" s="698" t="s">
        <v>525</v>
      </c>
      <c r="H300" s="698">
        <v>214912</v>
      </c>
      <c r="I300" s="698">
        <v>214912</v>
      </c>
      <c r="J300" s="698" t="s">
        <v>1038</v>
      </c>
      <c r="K300" s="698" t="s">
        <v>1039</v>
      </c>
      <c r="L300" s="701">
        <v>130.17555555555555</v>
      </c>
      <c r="M300" s="701">
        <v>18</v>
      </c>
      <c r="N300" s="702">
        <v>2343.16</v>
      </c>
    </row>
    <row r="301" spans="1:14" ht="14.4" customHeight="1" x14ac:dyDescent="0.3">
      <c r="A301" s="696" t="s">
        <v>505</v>
      </c>
      <c r="B301" s="697" t="s">
        <v>506</v>
      </c>
      <c r="C301" s="698" t="s">
        <v>519</v>
      </c>
      <c r="D301" s="699" t="s">
        <v>520</v>
      </c>
      <c r="E301" s="700">
        <v>50113001</v>
      </c>
      <c r="F301" s="699" t="s">
        <v>524</v>
      </c>
      <c r="G301" s="698" t="s">
        <v>507</v>
      </c>
      <c r="H301" s="698">
        <v>173187</v>
      </c>
      <c r="I301" s="698">
        <v>173187</v>
      </c>
      <c r="J301" s="698" t="s">
        <v>1040</v>
      </c>
      <c r="K301" s="698" t="s">
        <v>1041</v>
      </c>
      <c r="L301" s="701">
        <v>28.779999999999998</v>
      </c>
      <c r="M301" s="701">
        <v>1</v>
      </c>
      <c r="N301" s="702">
        <v>28.779999999999998</v>
      </c>
    </row>
    <row r="302" spans="1:14" ht="14.4" customHeight="1" x14ac:dyDescent="0.3">
      <c r="A302" s="696" t="s">
        <v>505</v>
      </c>
      <c r="B302" s="697" t="s">
        <v>506</v>
      </c>
      <c r="C302" s="698" t="s">
        <v>519</v>
      </c>
      <c r="D302" s="699" t="s">
        <v>520</v>
      </c>
      <c r="E302" s="700">
        <v>50113001</v>
      </c>
      <c r="F302" s="699" t="s">
        <v>524</v>
      </c>
      <c r="G302" s="698" t="s">
        <v>525</v>
      </c>
      <c r="H302" s="698">
        <v>102420</v>
      </c>
      <c r="I302" s="698">
        <v>2420</v>
      </c>
      <c r="J302" s="698" t="s">
        <v>1042</v>
      </c>
      <c r="K302" s="698" t="s">
        <v>1043</v>
      </c>
      <c r="L302" s="701">
        <v>105.06999999999996</v>
      </c>
      <c r="M302" s="701">
        <v>1</v>
      </c>
      <c r="N302" s="702">
        <v>105.06999999999996</v>
      </c>
    </row>
    <row r="303" spans="1:14" ht="14.4" customHeight="1" x14ac:dyDescent="0.3">
      <c r="A303" s="696" t="s">
        <v>505</v>
      </c>
      <c r="B303" s="697" t="s">
        <v>506</v>
      </c>
      <c r="C303" s="698" t="s">
        <v>519</v>
      </c>
      <c r="D303" s="699" t="s">
        <v>520</v>
      </c>
      <c r="E303" s="700">
        <v>50113001</v>
      </c>
      <c r="F303" s="699" t="s">
        <v>524</v>
      </c>
      <c r="G303" s="698" t="s">
        <v>525</v>
      </c>
      <c r="H303" s="698">
        <v>187406</v>
      </c>
      <c r="I303" s="698">
        <v>187406</v>
      </c>
      <c r="J303" s="698" t="s">
        <v>1044</v>
      </c>
      <c r="K303" s="698" t="s">
        <v>1045</v>
      </c>
      <c r="L303" s="701">
        <v>193.12999999999994</v>
      </c>
      <c r="M303" s="701">
        <v>1</v>
      </c>
      <c r="N303" s="702">
        <v>193.12999999999994</v>
      </c>
    </row>
    <row r="304" spans="1:14" ht="14.4" customHeight="1" x14ac:dyDescent="0.3">
      <c r="A304" s="696" t="s">
        <v>505</v>
      </c>
      <c r="B304" s="697" t="s">
        <v>506</v>
      </c>
      <c r="C304" s="698" t="s">
        <v>519</v>
      </c>
      <c r="D304" s="699" t="s">
        <v>520</v>
      </c>
      <c r="E304" s="700">
        <v>50113001</v>
      </c>
      <c r="F304" s="699" t="s">
        <v>524</v>
      </c>
      <c r="G304" s="698" t="s">
        <v>525</v>
      </c>
      <c r="H304" s="698">
        <v>125115</v>
      </c>
      <c r="I304" s="698">
        <v>125115</v>
      </c>
      <c r="J304" s="698" t="s">
        <v>1046</v>
      </c>
      <c r="K304" s="698" t="s">
        <v>1047</v>
      </c>
      <c r="L304" s="701">
        <v>121.17</v>
      </c>
      <c r="M304" s="701">
        <v>2</v>
      </c>
      <c r="N304" s="702">
        <v>242.34</v>
      </c>
    </row>
    <row r="305" spans="1:14" ht="14.4" customHeight="1" x14ac:dyDescent="0.3">
      <c r="A305" s="696" t="s">
        <v>505</v>
      </c>
      <c r="B305" s="697" t="s">
        <v>506</v>
      </c>
      <c r="C305" s="698" t="s">
        <v>519</v>
      </c>
      <c r="D305" s="699" t="s">
        <v>520</v>
      </c>
      <c r="E305" s="700">
        <v>50113001</v>
      </c>
      <c r="F305" s="699" t="s">
        <v>524</v>
      </c>
      <c r="G305" s="698" t="s">
        <v>546</v>
      </c>
      <c r="H305" s="698">
        <v>850729</v>
      </c>
      <c r="I305" s="698">
        <v>157875</v>
      </c>
      <c r="J305" s="698" t="s">
        <v>1048</v>
      </c>
      <c r="K305" s="698" t="s">
        <v>1049</v>
      </c>
      <c r="L305" s="701">
        <v>225.5</v>
      </c>
      <c r="M305" s="701">
        <v>65</v>
      </c>
      <c r="N305" s="702">
        <v>14657.5</v>
      </c>
    </row>
    <row r="306" spans="1:14" ht="14.4" customHeight="1" x14ac:dyDescent="0.3">
      <c r="A306" s="696" t="s">
        <v>505</v>
      </c>
      <c r="B306" s="697" t="s">
        <v>506</v>
      </c>
      <c r="C306" s="698" t="s">
        <v>519</v>
      </c>
      <c r="D306" s="699" t="s">
        <v>520</v>
      </c>
      <c r="E306" s="700">
        <v>50113001</v>
      </c>
      <c r="F306" s="699" t="s">
        <v>524</v>
      </c>
      <c r="G306" s="698" t="s">
        <v>525</v>
      </c>
      <c r="H306" s="698">
        <v>104343</v>
      </c>
      <c r="I306" s="698">
        <v>4343</v>
      </c>
      <c r="J306" s="698" t="s">
        <v>1050</v>
      </c>
      <c r="K306" s="698" t="s">
        <v>1051</v>
      </c>
      <c r="L306" s="701">
        <v>29.699999999999989</v>
      </c>
      <c r="M306" s="701">
        <v>6</v>
      </c>
      <c r="N306" s="702">
        <v>178.19999999999993</v>
      </c>
    </row>
    <row r="307" spans="1:14" ht="14.4" customHeight="1" x14ac:dyDescent="0.3">
      <c r="A307" s="696" t="s">
        <v>505</v>
      </c>
      <c r="B307" s="697" t="s">
        <v>506</v>
      </c>
      <c r="C307" s="698" t="s">
        <v>519</v>
      </c>
      <c r="D307" s="699" t="s">
        <v>520</v>
      </c>
      <c r="E307" s="700">
        <v>50113001</v>
      </c>
      <c r="F307" s="699" t="s">
        <v>524</v>
      </c>
      <c r="G307" s="698" t="s">
        <v>525</v>
      </c>
      <c r="H307" s="698">
        <v>191249</v>
      </c>
      <c r="I307" s="698">
        <v>91249</v>
      </c>
      <c r="J307" s="698" t="s">
        <v>1052</v>
      </c>
      <c r="K307" s="698" t="s">
        <v>1053</v>
      </c>
      <c r="L307" s="701">
        <v>18.539999999999996</v>
      </c>
      <c r="M307" s="701">
        <v>1</v>
      </c>
      <c r="N307" s="702">
        <v>18.539999999999996</v>
      </c>
    </row>
    <row r="308" spans="1:14" ht="14.4" customHeight="1" x14ac:dyDescent="0.3">
      <c r="A308" s="696" t="s">
        <v>505</v>
      </c>
      <c r="B308" s="697" t="s">
        <v>506</v>
      </c>
      <c r="C308" s="698" t="s">
        <v>519</v>
      </c>
      <c r="D308" s="699" t="s">
        <v>520</v>
      </c>
      <c r="E308" s="700">
        <v>50113001</v>
      </c>
      <c r="F308" s="699" t="s">
        <v>524</v>
      </c>
      <c r="G308" s="698" t="s">
        <v>525</v>
      </c>
      <c r="H308" s="698">
        <v>121393</v>
      </c>
      <c r="I308" s="698">
        <v>0</v>
      </c>
      <c r="J308" s="698" t="s">
        <v>1054</v>
      </c>
      <c r="K308" s="698" t="s">
        <v>1055</v>
      </c>
      <c r="L308" s="701">
        <v>6050</v>
      </c>
      <c r="M308" s="701">
        <v>5</v>
      </c>
      <c r="N308" s="702">
        <v>30250</v>
      </c>
    </row>
    <row r="309" spans="1:14" ht="14.4" customHeight="1" x14ac:dyDescent="0.3">
      <c r="A309" s="696" t="s">
        <v>505</v>
      </c>
      <c r="B309" s="697" t="s">
        <v>506</v>
      </c>
      <c r="C309" s="698" t="s">
        <v>519</v>
      </c>
      <c r="D309" s="699" t="s">
        <v>520</v>
      </c>
      <c r="E309" s="700">
        <v>50113001</v>
      </c>
      <c r="F309" s="699" t="s">
        <v>524</v>
      </c>
      <c r="G309" s="698" t="s">
        <v>525</v>
      </c>
      <c r="H309" s="698">
        <v>147671</v>
      </c>
      <c r="I309" s="698">
        <v>47671</v>
      </c>
      <c r="J309" s="698" t="s">
        <v>1056</v>
      </c>
      <c r="K309" s="698" t="s">
        <v>1057</v>
      </c>
      <c r="L309" s="701">
        <v>351.16142857142859</v>
      </c>
      <c r="M309" s="701">
        <v>7</v>
      </c>
      <c r="N309" s="702">
        <v>2458.13</v>
      </c>
    </row>
    <row r="310" spans="1:14" ht="14.4" customHeight="1" x14ac:dyDescent="0.3">
      <c r="A310" s="696" t="s">
        <v>505</v>
      </c>
      <c r="B310" s="697" t="s">
        <v>506</v>
      </c>
      <c r="C310" s="698" t="s">
        <v>519</v>
      </c>
      <c r="D310" s="699" t="s">
        <v>520</v>
      </c>
      <c r="E310" s="700">
        <v>50113001</v>
      </c>
      <c r="F310" s="699" t="s">
        <v>524</v>
      </c>
      <c r="G310" s="698" t="s">
        <v>525</v>
      </c>
      <c r="H310" s="698">
        <v>155911</v>
      </c>
      <c r="I310" s="698">
        <v>55911</v>
      </c>
      <c r="J310" s="698" t="s">
        <v>1058</v>
      </c>
      <c r="K310" s="698" t="s">
        <v>1059</v>
      </c>
      <c r="L310" s="701">
        <v>37.046875000000014</v>
      </c>
      <c r="M310" s="701">
        <v>64</v>
      </c>
      <c r="N310" s="702">
        <v>2371.0000000000009</v>
      </c>
    </row>
    <row r="311" spans="1:14" ht="14.4" customHeight="1" x14ac:dyDescent="0.3">
      <c r="A311" s="696" t="s">
        <v>505</v>
      </c>
      <c r="B311" s="697" t="s">
        <v>506</v>
      </c>
      <c r="C311" s="698" t="s">
        <v>519</v>
      </c>
      <c r="D311" s="699" t="s">
        <v>520</v>
      </c>
      <c r="E311" s="700">
        <v>50113001</v>
      </c>
      <c r="F311" s="699" t="s">
        <v>524</v>
      </c>
      <c r="G311" s="698" t="s">
        <v>525</v>
      </c>
      <c r="H311" s="698">
        <v>111671</v>
      </c>
      <c r="I311" s="698">
        <v>11671</v>
      </c>
      <c r="J311" s="698" t="s">
        <v>1060</v>
      </c>
      <c r="K311" s="698" t="s">
        <v>1061</v>
      </c>
      <c r="L311" s="701">
        <v>209</v>
      </c>
      <c r="M311" s="701">
        <v>250</v>
      </c>
      <c r="N311" s="702">
        <v>52250</v>
      </c>
    </row>
    <row r="312" spans="1:14" ht="14.4" customHeight="1" x14ac:dyDescent="0.3">
      <c r="A312" s="696" t="s">
        <v>505</v>
      </c>
      <c r="B312" s="697" t="s">
        <v>506</v>
      </c>
      <c r="C312" s="698" t="s">
        <v>519</v>
      </c>
      <c r="D312" s="699" t="s">
        <v>520</v>
      </c>
      <c r="E312" s="700">
        <v>50113001</v>
      </c>
      <c r="F312" s="699" t="s">
        <v>524</v>
      </c>
      <c r="G312" s="698" t="s">
        <v>525</v>
      </c>
      <c r="H312" s="698">
        <v>111696</v>
      </c>
      <c r="I312" s="698">
        <v>11696</v>
      </c>
      <c r="J312" s="698" t="s">
        <v>1062</v>
      </c>
      <c r="K312" s="698" t="s">
        <v>1061</v>
      </c>
      <c r="L312" s="701">
        <v>324.83000183492061</v>
      </c>
      <c r="M312" s="701">
        <v>195</v>
      </c>
      <c r="N312" s="702">
        <v>63341.850357809519</v>
      </c>
    </row>
    <row r="313" spans="1:14" ht="14.4" customHeight="1" x14ac:dyDescent="0.3">
      <c r="A313" s="696" t="s">
        <v>505</v>
      </c>
      <c r="B313" s="697" t="s">
        <v>506</v>
      </c>
      <c r="C313" s="698" t="s">
        <v>519</v>
      </c>
      <c r="D313" s="699" t="s">
        <v>520</v>
      </c>
      <c r="E313" s="700">
        <v>50113001</v>
      </c>
      <c r="F313" s="699" t="s">
        <v>524</v>
      </c>
      <c r="G313" s="698" t="s">
        <v>525</v>
      </c>
      <c r="H313" s="698">
        <v>209048</v>
      </c>
      <c r="I313" s="698">
        <v>209048</v>
      </c>
      <c r="J313" s="698" t="s">
        <v>1063</v>
      </c>
      <c r="K313" s="698" t="s">
        <v>1064</v>
      </c>
      <c r="L313" s="701">
        <v>45379.79</v>
      </c>
      <c r="M313" s="701">
        <v>1</v>
      </c>
      <c r="N313" s="702">
        <v>45379.79</v>
      </c>
    </row>
    <row r="314" spans="1:14" ht="14.4" customHeight="1" x14ac:dyDescent="0.3">
      <c r="A314" s="696" t="s">
        <v>505</v>
      </c>
      <c r="B314" s="697" t="s">
        <v>506</v>
      </c>
      <c r="C314" s="698" t="s">
        <v>519</v>
      </c>
      <c r="D314" s="699" t="s">
        <v>520</v>
      </c>
      <c r="E314" s="700">
        <v>50113001</v>
      </c>
      <c r="F314" s="699" t="s">
        <v>524</v>
      </c>
      <c r="G314" s="698" t="s">
        <v>525</v>
      </c>
      <c r="H314" s="698">
        <v>100269</v>
      </c>
      <c r="I314" s="698">
        <v>269</v>
      </c>
      <c r="J314" s="698" t="s">
        <v>1065</v>
      </c>
      <c r="K314" s="698" t="s">
        <v>1066</v>
      </c>
      <c r="L314" s="701">
        <v>40.540000000000006</v>
      </c>
      <c r="M314" s="701">
        <v>1</v>
      </c>
      <c r="N314" s="702">
        <v>40.540000000000006</v>
      </c>
    </row>
    <row r="315" spans="1:14" ht="14.4" customHeight="1" x14ac:dyDescent="0.3">
      <c r="A315" s="696" t="s">
        <v>505</v>
      </c>
      <c r="B315" s="697" t="s">
        <v>506</v>
      </c>
      <c r="C315" s="698" t="s">
        <v>519</v>
      </c>
      <c r="D315" s="699" t="s">
        <v>520</v>
      </c>
      <c r="E315" s="700">
        <v>50113001</v>
      </c>
      <c r="F315" s="699" t="s">
        <v>524</v>
      </c>
      <c r="G315" s="698" t="s">
        <v>546</v>
      </c>
      <c r="H315" s="698">
        <v>210570</v>
      </c>
      <c r="I315" s="698">
        <v>210570</v>
      </c>
      <c r="J315" s="698" t="s">
        <v>1067</v>
      </c>
      <c r="K315" s="698" t="s">
        <v>1068</v>
      </c>
      <c r="L315" s="701">
        <v>2031.5000000000009</v>
      </c>
      <c r="M315" s="701">
        <v>1</v>
      </c>
      <c r="N315" s="702">
        <v>2031.5000000000009</v>
      </c>
    </row>
    <row r="316" spans="1:14" ht="14.4" customHeight="1" x14ac:dyDescent="0.3">
      <c r="A316" s="696" t="s">
        <v>505</v>
      </c>
      <c r="B316" s="697" t="s">
        <v>506</v>
      </c>
      <c r="C316" s="698" t="s">
        <v>519</v>
      </c>
      <c r="D316" s="699" t="s">
        <v>520</v>
      </c>
      <c r="E316" s="700">
        <v>50113001</v>
      </c>
      <c r="F316" s="699" t="s">
        <v>524</v>
      </c>
      <c r="G316" s="698" t="s">
        <v>546</v>
      </c>
      <c r="H316" s="698">
        <v>849430</v>
      </c>
      <c r="I316" s="698">
        <v>124091</v>
      </c>
      <c r="J316" s="698" t="s">
        <v>1069</v>
      </c>
      <c r="K316" s="698" t="s">
        <v>1070</v>
      </c>
      <c r="L316" s="701">
        <v>387.13</v>
      </c>
      <c r="M316" s="701">
        <v>2</v>
      </c>
      <c r="N316" s="702">
        <v>774.26</v>
      </c>
    </row>
    <row r="317" spans="1:14" ht="14.4" customHeight="1" x14ac:dyDescent="0.3">
      <c r="A317" s="696" t="s">
        <v>505</v>
      </c>
      <c r="B317" s="697" t="s">
        <v>506</v>
      </c>
      <c r="C317" s="698" t="s">
        <v>519</v>
      </c>
      <c r="D317" s="699" t="s">
        <v>520</v>
      </c>
      <c r="E317" s="700">
        <v>50113001</v>
      </c>
      <c r="F317" s="699" t="s">
        <v>524</v>
      </c>
      <c r="G317" s="698" t="s">
        <v>546</v>
      </c>
      <c r="H317" s="698">
        <v>844651</v>
      </c>
      <c r="I317" s="698">
        <v>101205</v>
      </c>
      <c r="J317" s="698" t="s">
        <v>1071</v>
      </c>
      <c r="K317" s="698" t="s">
        <v>618</v>
      </c>
      <c r="L317" s="701">
        <v>86.080000000000055</v>
      </c>
      <c r="M317" s="701">
        <v>1</v>
      </c>
      <c r="N317" s="702">
        <v>86.080000000000055</v>
      </c>
    </row>
    <row r="318" spans="1:14" ht="14.4" customHeight="1" x14ac:dyDescent="0.3">
      <c r="A318" s="696" t="s">
        <v>505</v>
      </c>
      <c r="B318" s="697" t="s">
        <v>506</v>
      </c>
      <c r="C318" s="698" t="s">
        <v>519</v>
      </c>
      <c r="D318" s="699" t="s">
        <v>520</v>
      </c>
      <c r="E318" s="700">
        <v>50113001</v>
      </c>
      <c r="F318" s="699" t="s">
        <v>524</v>
      </c>
      <c r="G318" s="698" t="s">
        <v>546</v>
      </c>
      <c r="H318" s="698">
        <v>845219</v>
      </c>
      <c r="I318" s="698">
        <v>101233</v>
      </c>
      <c r="J318" s="698" t="s">
        <v>1072</v>
      </c>
      <c r="K318" s="698" t="s">
        <v>1073</v>
      </c>
      <c r="L318" s="701">
        <v>368.25</v>
      </c>
      <c r="M318" s="701">
        <v>1</v>
      </c>
      <c r="N318" s="702">
        <v>368.25</v>
      </c>
    </row>
    <row r="319" spans="1:14" ht="14.4" customHeight="1" x14ac:dyDescent="0.3">
      <c r="A319" s="696" t="s">
        <v>505</v>
      </c>
      <c r="B319" s="697" t="s">
        <v>506</v>
      </c>
      <c r="C319" s="698" t="s">
        <v>519</v>
      </c>
      <c r="D319" s="699" t="s">
        <v>520</v>
      </c>
      <c r="E319" s="700">
        <v>50113001</v>
      </c>
      <c r="F319" s="699" t="s">
        <v>524</v>
      </c>
      <c r="G319" s="698" t="s">
        <v>546</v>
      </c>
      <c r="H319" s="698">
        <v>844738</v>
      </c>
      <c r="I319" s="698">
        <v>101227</v>
      </c>
      <c r="J319" s="698" t="s">
        <v>1072</v>
      </c>
      <c r="K319" s="698" t="s">
        <v>1074</v>
      </c>
      <c r="L319" s="701">
        <v>162.78999999999996</v>
      </c>
      <c r="M319" s="701">
        <v>3</v>
      </c>
      <c r="N319" s="702">
        <v>488.36999999999989</v>
      </c>
    </row>
    <row r="320" spans="1:14" ht="14.4" customHeight="1" x14ac:dyDescent="0.3">
      <c r="A320" s="696" t="s">
        <v>505</v>
      </c>
      <c r="B320" s="697" t="s">
        <v>506</v>
      </c>
      <c r="C320" s="698" t="s">
        <v>519</v>
      </c>
      <c r="D320" s="699" t="s">
        <v>520</v>
      </c>
      <c r="E320" s="700">
        <v>50113001</v>
      </c>
      <c r="F320" s="699" t="s">
        <v>524</v>
      </c>
      <c r="G320" s="698" t="s">
        <v>525</v>
      </c>
      <c r="H320" s="698">
        <v>500280</v>
      </c>
      <c r="I320" s="698">
        <v>159836</v>
      </c>
      <c r="J320" s="698" t="s">
        <v>1075</v>
      </c>
      <c r="K320" s="698" t="s">
        <v>507</v>
      </c>
      <c r="L320" s="701">
        <v>144.73000000000002</v>
      </c>
      <c r="M320" s="701">
        <v>1</v>
      </c>
      <c r="N320" s="702">
        <v>144.73000000000002</v>
      </c>
    </row>
    <row r="321" spans="1:14" ht="14.4" customHeight="1" x14ac:dyDescent="0.3">
      <c r="A321" s="696" t="s">
        <v>505</v>
      </c>
      <c r="B321" s="697" t="s">
        <v>506</v>
      </c>
      <c r="C321" s="698" t="s">
        <v>519</v>
      </c>
      <c r="D321" s="699" t="s">
        <v>520</v>
      </c>
      <c r="E321" s="700">
        <v>50113001</v>
      </c>
      <c r="F321" s="699" t="s">
        <v>524</v>
      </c>
      <c r="G321" s="698" t="s">
        <v>546</v>
      </c>
      <c r="H321" s="698">
        <v>118175</v>
      </c>
      <c r="I321" s="698">
        <v>18175</v>
      </c>
      <c r="J321" s="698" t="s">
        <v>1076</v>
      </c>
      <c r="K321" s="698" t="s">
        <v>1077</v>
      </c>
      <c r="L321" s="701">
        <v>864.85569892473109</v>
      </c>
      <c r="M321" s="701">
        <v>186</v>
      </c>
      <c r="N321" s="702">
        <v>160863.15999999997</v>
      </c>
    </row>
    <row r="322" spans="1:14" ht="14.4" customHeight="1" x14ac:dyDescent="0.3">
      <c r="A322" s="696" t="s">
        <v>505</v>
      </c>
      <c r="B322" s="697" t="s">
        <v>506</v>
      </c>
      <c r="C322" s="698" t="s">
        <v>519</v>
      </c>
      <c r="D322" s="699" t="s">
        <v>520</v>
      </c>
      <c r="E322" s="700">
        <v>50113001</v>
      </c>
      <c r="F322" s="699" t="s">
        <v>524</v>
      </c>
      <c r="G322" s="698" t="s">
        <v>507</v>
      </c>
      <c r="H322" s="698">
        <v>129027</v>
      </c>
      <c r="I322" s="698">
        <v>129027</v>
      </c>
      <c r="J322" s="698" t="s">
        <v>1078</v>
      </c>
      <c r="K322" s="698" t="s">
        <v>1079</v>
      </c>
      <c r="L322" s="701">
        <v>841.5</v>
      </c>
      <c r="M322" s="701">
        <v>16</v>
      </c>
      <c r="N322" s="702">
        <v>13464</v>
      </c>
    </row>
    <row r="323" spans="1:14" ht="14.4" customHeight="1" x14ac:dyDescent="0.3">
      <c r="A323" s="696" t="s">
        <v>505</v>
      </c>
      <c r="B323" s="697" t="s">
        <v>506</v>
      </c>
      <c r="C323" s="698" t="s">
        <v>519</v>
      </c>
      <c r="D323" s="699" t="s">
        <v>520</v>
      </c>
      <c r="E323" s="700">
        <v>50113001</v>
      </c>
      <c r="F323" s="699" t="s">
        <v>524</v>
      </c>
      <c r="G323" s="698" t="s">
        <v>525</v>
      </c>
      <c r="H323" s="698">
        <v>191731</v>
      </c>
      <c r="I323" s="698">
        <v>91731</v>
      </c>
      <c r="J323" s="698" t="s">
        <v>1080</v>
      </c>
      <c r="K323" s="698" t="s">
        <v>1081</v>
      </c>
      <c r="L323" s="701">
        <v>3891.2466666666678</v>
      </c>
      <c r="M323" s="701">
        <v>6</v>
      </c>
      <c r="N323" s="702">
        <v>23347.480000000007</v>
      </c>
    </row>
    <row r="324" spans="1:14" ht="14.4" customHeight="1" x14ac:dyDescent="0.3">
      <c r="A324" s="696" t="s">
        <v>505</v>
      </c>
      <c r="B324" s="697" t="s">
        <v>506</v>
      </c>
      <c r="C324" s="698" t="s">
        <v>519</v>
      </c>
      <c r="D324" s="699" t="s">
        <v>520</v>
      </c>
      <c r="E324" s="700">
        <v>50113001</v>
      </c>
      <c r="F324" s="699" t="s">
        <v>524</v>
      </c>
      <c r="G324" s="698" t="s">
        <v>525</v>
      </c>
      <c r="H324" s="698">
        <v>200394</v>
      </c>
      <c r="I324" s="698">
        <v>200394</v>
      </c>
      <c r="J324" s="698" t="s">
        <v>1082</v>
      </c>
      <c r="K324" s="698" t="s">
        <v>1083</v>
      </c>
      <c r="L324" s="701">
        <v>125.64</v>
      </c>
      <c r="M324" s="701">
        <v>1</v>
      </c>
      <c r="N324" s="702">
        <v>125.64</v>
      </c>
    </row>
    <row r="325" spans="1:14" ht="14.4" customHeight="1" x14ac:dyDescent="0.3">
      <c r="A325" s="696" t="s">
        <v>505</v>
      </c>
      <c r="B325" s="697" t="s">
        <v>506</v>
      </c>
      <c r="C325" s="698" t="s">
        <v>519</v>
      </c>
      <c r="D325" s="699" t="s">
        <v>520</v>
      </c>
      <c r="E325" s="700">
        <v>50113001</v>
      </c>
      <c r="F325" s="699" t="s">
        <v>524</v>
      </c>
      <c r="G325" s="698" t="s">
        <v>546</v>
      </c>
      <c r="H325" s="698">
        <v>130652</v>
      </c>
      <c r="I325" s="698">
        <v>30652</v>
      </c>
      <c r="J325" s="698" t="s">
        <v>1084</v>
      </c>
      <c r="K325" s="698" t="s">
        <v>803</v>
      </c>
      <c r="L325" s="701">
        <v>103.76999999999998</v>
      </c>
      <c r="M325" s="701">
        <v>1</v>
      </c>
      <c r="N325" s="702">
        <v>103.76999999999998</v>
      </c>
    </row>
    <row r="326" spans="1:14" ht="14.4" customHeight="1" x14ac:dyDescent="0.3">
      <c r="A326" s="696" t="s">
        <v>505</v>
      </c>
      <c r="B326" s="697" t="s">
        <v>506</v>
      </c>
      <c r="C326" s="698" t="s">
        <v>519</v>
      </c>
      <c r="D326" s="699" t="s">
        <v>520</v>
      </c>
      <c r="E326" s="700">
        <v>50113001</v>
      </c>
      <c r="F326" s="699" t="s">
        <v>524</v>
      </c>
      <c r="G326" s="698" t="s">
        <v>525</v>
      </c>
      <c r="H326" s="698">
        <v>204356</v>
      </c>
      <c r="I326" s="698">
        <v>204356</v>
      </c>
      <c r="J326" s="698" t="s">
        <v>1085</v>
      </c>
      <c r="K326" s="698" t="s">
        <v>1086</v>
      </c>
      <c r="L326" s="701">
        <v>1133</v>
      </c>
      <c r="M326" s="701">
        <v>3</v>
      </c>
      <c r="N326" s="702">
        <v>3399</v>
      </c>
    </row>
    <row r="327" spans="1:14" ht="14.4" customHeight="1" x14ac:dyDescent="0.3">
      <c r="A327" s="696" t="s">
        <v>505</v>
      </c>
      <c r="B327" s="697" t="s">
        <v>506</v>
      </c>
      <c r="C327" s="698" t="s">
        <v>519</v>
      </c>
      <c r="D327" s="699" t="s">
        <v>520</v>
      </c>
      <c r="E327" s="700">
        <v>50113001</v>
      </c>
      <c r="F327" s="699" t="s">
        <v>524</v>
      </c>
      <c r="G327" s="698" t="s">
        <v>525</v>
      </c>
      <c r="H327" s="698">
        <v>144357</v>
      </c>
      <c r="I327" s="698">
        <v>44357</v>
      </c>
      <c r="J327" s="698" t="s">
        <v>1087</v>
      </c>
      <c r="K327" s="698" t="s">
        <v>1088</v>
      </c>
      <c r="L327" s="701">
        <v>3569.28</v>
      </c>
      <c r="M327" s="701">
        <v>11</v>
      </c>
      <c r="N327" s="702">
        <v>39262.080000000002</v>
      </c>
    </row>
    <row r="328" spans="1:14" ht="14.4" customHeight="1" x14ac:dyDescent="0.3">
      <c r="A328" s="696" t="s">
        <v>505</v>
      </c>
      <c r="B328" s="697" t="s">
        <v>506</v>
      </c>
      <c r="C328" s="698" t="s">
        <v>519</v>
      </c>
      <c r="D328" s="699" t="s">
        <v>520</v>
      </c>
      <c r="E328" s="700">
        <v>50113001</v>
      </c>
      <c r="F328" s="699" t="s">
        <v>524</v>
      </c>
      <c r="G328" s="698" t="s">
        <v>507</v>
      </c>
      <c r="H328" s="698">
        <v>130805</v>
      </c>
      <c r="I328" s="698">
        <v>30805</v>
      </c>
      <c r="J328" s="698" t="s">
        <v>1089</v>
      </c>
      <c r="K328" s="698" t="s">
        <v>543</v>
      </c>
      <c r="L328" s="701">
        <v>118.92000000000009</v>
      </c>
      <c r="M328" s="701">
        <v>1</v>
      </c>
      <c r="N328" s="702">
        <v>118.92000000000009</v>
      </c>
    </row>
    <row r="329" spans="1:14" ht="14.4" customHeight="1" x14ac:dyDescent="0.3">
      <c r="A329" s="696" t="s">
        <v>505</v>
      </c>
      <c r="B329" s="697" t="s">
        <v>506</v>
      </c>
      <c r="C329" s="698" t="s">
        <v>519</v>
      </c>
      <c r="D329" s="699" t="s">
        <v>520</v>
      </c>
      <c r="E329" s="700">
        <v>50113001</v>
      </c>
      <c r="F329" s="699" t="s">
        <v>524</v>
      </c>
      <c r="G329" s="698" t="s">
        <v>525</v>
      </c>
      <c r="H329" s="698">
        <v>118304</v>
      </c>
      <c r="I329" s="698">
        <v>18304</v>
      </c>
      <c r="J329" s="698" t="s">
        <v>1090</v>
      </c>
      <c r="K329" s="698" t="s">
        <v>1091</v>
      </c>
      <c r="L329" s="701">
        <v>185.60999999999999</v>
      </c>
      <c r="M329" s="701">
        <v>162</v>
      </c>
      <c r="N329" s="702">
        <v>30068.819999999996</v>
      </c>
    </row>
    <row r="330" spans="1:14" ht="14.4" customHeight="1" x14ac:dyDescent="0.3">
      <c r="A330" s="696" t="s">
        <v>505</v>
      </c>
      <c r="B330" s="697" t="s">
        <v>506</v>
      </c>
      <c r="C330" s="698" t="s">
        <v>519</v>
      </c>
      <c r="D330" s="699" t="s">
        <v>520</v>
      </c>
      <c r="E330" s="700">
        <v>50113001</v>
      </c>
      <c r="F330" s="699" t="s">
        <v>524</v>
      </c>
      <c r="G330" s="698" t="s">
        <v>525</v>
      </c>
      <c r="H330" s="698">
        <v>118305</v>
      </c>
      <c r="I330" s="698">
        <v>18305</v>
      </c>
      <c r="J330" s="698" t="s">
        <v>1090</v>
      </c>
      <c r="K330" s="698" t="s">
        <v>1092</v>
      </c>
      <c r="L330" s="701">
        <v>242</v>
      </c>
      <c r="M330" s="701">
        <v>226</v>
      </c>
      <c r="N330" s="702">
        <v>54692</v>
      </c>
    </row>
    <row r="331" spans="1:14" ht="14.4" customHeight="1" x14ac:dyDescent="0.3">
      <c r="A331" s="696" t="s">
        <v>505</v>
      </c>
      <c r="B331" s="697" t="s">
        <v>506</v>
      </c>
      <c r="C331" s="698" t="s">
        <v>519</v>
      </c>
      <c r="D331" s="699" t="s">
        <v>520</v>
      </c>
      <c r="E331" s="700">
        <v>50113001</v>
      </c>
      <c r="F331" s="699" t="s">
        <v>524</v>
      </c>
      <c r="G331" s="698" t="s">
        <v>525</v>
      </c>
      <c r="H331" s="698">
        <v>159357</v>
      </c>
      <c r="I331" s="698">
        <v>59357</v>
      </c>
      <c r="J331" s="698" t="s">
        <v>1093</v>
      </c>
      <c r="K331" s="698" t="s">
        <v>1094</v>
      </c>
      <c r="L331" s="701">
        <v>188.88</v>
      </c>
      <c r="M331" s="701">
        <v>9</v>
      </c>
      <c r="N331" s="702">
        <v>1699.9199999999998</v>
      </c>
    </row>
    <row r="332" spans="1:14" ht="14.4" customHeight="1" x14ac:dyDescent="0.3">
      <c r="A332" s="696" t="s">
        <v>505</v>
      </c>
      <c r="B332" s="697" t="s">
        <v>506</v>
      </c>
      <c r="C332" s="698" t="s">
        <v>519</v>
      </c>
      <c r="D332" s="699" t="s">
        <v>520</v>
      </c>
      <c r="E332" s="700">
        <v>50113001</v>
      </c>
      <c r="F332" s="699" t="s">
        <v>524</v>
      </c>
      <c r="G332" s="698" t="s">
        <v>525</v>
      </c>
      <c r="H332" s="698">
        <v>159358</v>
      </c>
      <c r="I332" s="698">
        <v>59358</v>
      </c>
      <c r="J332" s="698" t="s">
        <v>1093</v>
      </c>
      <c r="K332" s="698" t="s">
        <v>1095</v>
      </c>
      <c r="L332" s="701">
        <v>326.48000000000008</v>
      </c>
      <c r="M332" s="701">
        <v>3.9000000000000004</v>
      </c>
      <c r="N332" s="702">
        <v>1273.2720000000004</v>
      </c>
    </row>
    <row r="333" spans="1:14" ht="14.4" customHeight="1" x14ac:dyDescent="0.3">
      <c r="A333" s="696" t="s">
        <v>505</v>
      </c>
      <c r="B333" s="697" t="s">
        <v>506</v>
      </c>
      <c r="C333" s="698" t="s">
        <v>519</v>
      </c>
      <c r="D333" s="699" t="s">
        <v>520</v>
      </c>
      <c r="E333" s="700">
        <v>50113001</v>
      </c>
      <c r="F333" s="699" t="s">
        <v>524</v>
      </c>
      <c r="G333" s="698" t="s">
        <v>525</v>
      </c>
      <c r="H333" s="698">
        <v>845286</v>
      </c>
      <c r="I333" s="698">
        <v>114364</v>
      </c>
      <c r="J333" s="698" t="s">
        <v>1096</v>
      </c>
      <c r="K333" s="698" t="s">
        <v>1097</v>
      </c>
      <c r="L333" s="701">
        <v>125.80999999999999</v>
      </c>
      <c r="M333" s="701">
        <v>1</v>
      </c>
      <c r="N333" s="702">
        <v>125.80999999999999</v>
      </c>
    </row>
    <row r="334" spans="1:14" ht="14.4" customHeight="1" x14ac:dyDescent="0.3">
      <c r="A334" s="696" t="s">
        <v>505</v>
      </c>
      <c r="B334" s="697" t="s">
        <v>506</v>
      </c>
      <c r="C334" s="698" t="s">
        <v>519</v>
      </c>
      <c r="D334" s="699" t="s">
        <v>520</v>
      </c>
      <c r="E334" s="700">
        <v>50113001</v>
      </c>
      <c r="F334" s="699" t="s">
        <v>524</v>
      </c>
      <c r="G334" s="698" t="s">
        <v>546</v>
      </c>
      <c r="H334" s="698">
        <v>215904</v>
      </c>
      <c r="I334" s="698">
        <v>215904</v>
      </c>
      <c r="J334" s="698" t="s">
        <v>1098</v>
      </c>
      <c r="K334" s="698" t="s">
        <v>1099</v>
      </c>
      <c r="L334" s="701">
        <v>119.20000000000003</v>
      </c>
      <c r="M334" s="701">
        <v>1</v>
      </c>
      <c r="N334" s="702">
        <v>119.20000000000003</v>
      </c>
    </row>
    <row r="335" spans="1:14" ht="14.4" customHeight="1" x14ac:dyDescent="0.3">
      <c r="A335" s="696" t="s">
        <v>505</v>
      </c>
      <c r="B335" s="697" t="s">
        <v>506</v>
      </c>
      <c r="C335" s="698" t="s">
        <v>519</v>
      </c>
      <c r="D335" s="699" t="s">
        <v>520</v>
      </c>
      <c r="E335" s="700">
        <v>50113001</v>
      </c>
      <c r="F335" s="699" t="s">
        <v>524</v>
      </c>
      <c r="G335" s="698" t="s">
        <v>546</v>
      </c>
      <c r="H335" s="698">
        <v>115245</v>
      </c>
      <c r="I335" s="698">
        <v>15245</v>
      </c>
      <c r="J335" s="698" t="s">
        <v>1100</v>
      </c>
      <c r="K335" s="698" t="s">
        <v>1101</v>
      </c>
      <c r="L335" s="701">
        <v>1375</v>
      </c>
      <c r="M335" s="701">
        <v>215</v>
      </c>
      <c r="N335" s="702">
        <v>295625</v>
      </c>
    </row>
    <row r="336" spans="1:14" ht="14.4" customHeight="1" x14ac:dyDescent="0.3">
      <c r="A336" s="696" t="s">
        <v>505</v>
      </c>
      <c r="B336" s="697" t="s">
        <v>506</v>
      </c>
      <c r="C336" s="698" t="s">
        <v>519</v>
      </c>
      <c r="D336" s="699" t="s">
        <v>520</v>
      </c>
      <c r="E336" s="700">
        <v>50113001</v>
      </c>
      <c r="F336" s="699" t="s">
        <v>524</v>
      </c>
      <c r="G336" s="698" t="s">
        <v>507</v>
      </c>
      <c r="H336" s="698">
        <v>198054</v>
      </c>
      <c r="I336" s="698">
        <v>198054</v>
      </c>
      <c r="J336" s="698" t="s">
        <v>1102</v>
      </c>
      <c r="K336" s="698" t="s">
        <v>1103</v>
      </c>
      <c r="L336" s="701">
        <v>40.260000000000005</v>
      </c>
      <c r="M336" s="701">
        <v>1</v>
      </c>
      <c r="N336" s="702">
        <v>40.260000000000005</v>
      </c>
    </row>
    <row r="337" spans="1:14" ht="14.4" customHeight="1" x14ac:dyDescent="0.3">
      <c r="A337" s="696" t="s">
        <v>505</v>
      </c>
      <c r="B337" s="697" t="s">
        <v>506</v>
      </c>
      <c r="C337" s="698" t="s">
        <v>519</v>
      </c>
      <c r="D337" s="699" t="s">
        <v>520</v>
      </c>
      <c r="E337" s="700">
        <v>50113001</v>
      </c>
      <c r="F337" s="699" t="s">
        <v>524</v>
      </c>
      <c r="G337" s="698" t="s">
        <v>525</v>
      </c>
      <c r="H337" s="698">
        <v>172564</v>
      </c>
      <c r="I337" s="698">
        <v>72564</v>
      </c>
      <c r="J337" s="698" t="s">
        <v>1104</v>
      </c>
      <c r="K337" s="698" t="s">
        <v>1105</v>
      </c>
      <c r="L337" s="701">
        <v>475.33619047619044</v>
      </c>
      <c r="M337" s="701">
        <v>84</v>
      </c>
      <c r="N337" s="702">
        <v>39928.239999999998</v>
      </c>
    </row>
    <row r="338" spans="1:14" ht="14.4" customHeight="1" x14ac:dyDescent="0.3">
      <c r="A338" s="696" t="s">
        <v>505</v>
      </c>
      <c r="B338" s="697" t="s">
        <v>506</v>
      </c>
      <c r="C338" s="698" t="s">
        <v>519</v>
      </c>
      <c r="D338" s="699" t="s">
        <v>520</v>
      </c>
      <c r="E338" s="700">
        <v>50113001</v>
      </c>
      <c r="F338" s="699" t="s">
        <v>524</v>
      </c>
      <c r="G338" s="698" t="s">
        <v>525</v>
      </c>
      <c r="H338" s="698">
        <v>208204</v>
      </c>
      <c r="I338" s="698">
        <v>208204</v>
      </c>
      <c r="J338" s="698" t="s">
        <v>1106</v>
      </c>
      <c r="K338" s="698" t="s">
        <v>1107</v>
      </c>
      <c r="L338" s="701">
        <v>48.980000000000011</v>
      </c>
      <c r="M338" s="701">
        <v>2</v>
      </c>
      <c r="N338" s="702">
        <v>97.960000000000022</v>
      </c>
    </row>
    <row r="339" spans="1:14" ht="14.4" customHeight="1" x14ac:dyDescent="0.3">
      <c r="A339" s="696" t="s">
        <v>505</v>
      </c>
      <c r="B339" s="697" t="s">
        <v>506</v>
      </c>
      <c r="C339" s="698" t="s">
        <v>519</v>
      </c>
      <c r="D339" s="699" t="s">
        <v>520</v>
      </c>
      <c r="E339" s="700">
        <v>50113001</v>
      </c>
      <c r="F339" s="699" t="s">
        <v>524</v>
      </c>
      <c r="G339" s="698" t="s">
        <v>546</v>
      </c>
      <c r="H339" s="698">
        <v>109709</v>
      </c>
      <c r="I339" s="698">
        <v>9709</v>
      </c>
      <c r="J339" s="698" t="s">
        <v>1108</v>
      </c>
      <c r="K339" s="698" t="s">
        <v>1109</v>
      </c>
      <c r="L339" s="701">
        <v>85.89153846153846</v>
      </c>
      <c r="M339" s="701">
        <v>26</v>
      </c>
      <c r="N339" s="702">
        <v>2233.1799999999998</v>
      </c>
    </row>
    <row r="340" spans="1:14" ht="14.4" customHeight="1" x14ac:dyDescent="0.3">
      <c r="A340" s="696" t="s">
        <v>505</v>
      </c>
      <c r="B340" s="697" t="s">
        <v>506</v>
      </c>
      <c r="C340" s="698" t="s">
        <v>519</v>
      </c>
      <c r="D340" s="699" t="s">
        <v>520</v>
      </c>
      <c r="E340" s="700">
        <v>50113001</v>
      </c>
      <c r="F340" s="699" t="s">
        <v>524</v>
      </c>
      <c r="G340" s="698" t="s">
        <v>525</v>
      </c>
      <c r="H340" s="698">
        <v>194852</v>
      </c>
      <c r="I340" s="698">
        <v>94852</v>
      </c>
      <c r="J340" s="698" t="s">
        <v>1110</v>
      </c>
      <c r="K340" s="698" t="s">
        <v>1111</v>
      </c>
      <c r="L340" s="701">
        <v>1032.5479527559053</v>
      </c>
      <c r="M340" s="701">
        <v>254</v>
      </c>
      <c r="N340" s="702">
        <v>262267.17999999993</v>
      </c>
    </row>
    <row r="341" spans="1:14" ht="14.4" customHeight="1" x14ac:dyDescent="0.3">
      <c r="A341" s="696" t="s">
        <v>505</v>
      </c>
      <c r="B341" s="697" t="s">
        <v>506</v>
      </c>
      <c r="C341" s="698" t="s">
        <v>519</v>
      </c>
      <c r="D341" s="699" t="s">
        <v>520</v>
      </c>
      <c r="E341" s="700">
        <v>50113001</v>
      </c>
      <c r="F341" s="699" t="s">
        <v>524</v>
      </c>
      <c r="G341" s="698" t="s">
        <v>525</v>
      </c>
      <c r="H341" s="698">
        <v>119653</v>
      </c>
      <c r="I341" s="698">
        <v>119653</v>
      </c>
      <c r="J341" s="698" t="s">
        <v>1112</v>
      </c>
      <c r="K341" s="698" t="s">
        <v>1113</v>
      </c>
      <c r="L341" s="701">
        <v>157.38</v>
      </c>
      <c r="M341" s="701">
        <v>1</v>
      </c>
      <c r="N341" s="702">
        <v>157.38</v>
      </c>
    </row>
    <row r="342" spans="1:14" ht="14.4" customHeight="1" x14ac:dyDescent="0.3">
      <c r="A342" s="696" t="s">
        <v>505</v>
      </c>
      <c r="B342" s="697" t="s">
        <v>506</v>
      </c>
      <c r="C342" s="698" t="s">
        <v>519</v>
      </c>
      <c r="D342" s="699" t="s">
        <v>520</v>
      </c>
      <c r="E342" s="700">
        <v>50113001</v>
      </c>
      <c r="F342" s="699" t="s">
        <v>524</v>
      </c>
      <c r="G342" s="698" t="s">
        <v>525</v>
      </c>
      <c r="H342" s="698">
        <v>848866</v>
      </c>
      <c r="I342" s="698">
        <v>119654</v>
      </c>
      <c r="J342" s="698" t="s">
        <v>1112</v>
      </c>
      <c r="K342" s="698" t="s">
        <v>1114</v>
      </c>
      <c r="L342" s="701">
        <v>255.39999999999992</v>
      </c>
      <c r="M342" s="701">
        <v>1</v>
      </c>
      <c r="N342" s="702">
        <v>255.39999999999992</v>
      </c>
    </row>
    <row r="343" spans="1:14" ht="14.4" customHeight="1" x14ac:dyDescent="0.3">
      <c r="A343" s="696" t="s">
        <v>505</v>
      </c>
      <c r="B343" s="697" t="s">
        <v>506</v>
      </c>
      <c r="C343" s="698" t="s">
        <v>519</v>
      </c>
      <c r="D343" s="699" t="s">
        <v>520</v>
      </c>
      <c r="E343" s="700">
        <v>50113001</v>
      </c>
      <c r="F343" s="699" t="s">
        <v>524</v>
      </c>
      <c r="G343" s="698" t="s">
        <v>525</v>
      </c>
      <c r="H343" s="698">
        <v>212286</v>
      </c>
      <c r="I343" s="698">
        <v>212286</v>
      </c>
      <c r="J343" s="698" t="s">
        <v>1115</v>
      </c>
      <c r="K343" s="698" t="s">
        <v>1116</v>
      </c>
      <c r="L343" s="701">
        <v>1014.4700000000003</v>
      </c>
      <c r="M343" s="701">
        <v>6</v>
      </c>
      <c r="N343" s="702">
        <v>6086.8200000000015</v>
      </c>
    </row>
    <row r="344" spans="1:14" ht="14.4" customHeight="1" x14ac:dyDescent="0.3">
      <c r="A344" s="696" t="s">
        <v>505</v>
      </c>
      <c r="B344" s="697" t="s">
        <v>506</v>
      </c>
      <c r="C344" s="698" t="s">
        <v>519</v>
      </c>
      <c r="D344" s="699" t="s">
        <v>520</v>
      </c>
      <c r="E344" s="700">
        <v>50113001</v>
      </c>
      <c r="F344" s="699" t="s">
        <v>524</v>
      </c>
      <c r="G344" s="698" t="s">
        <v>507</v>
      </c>
      <c r="H344" s="698">
        <v>185526</v>
      </c>
      <c r="I344" s="698">
        <v>85526</v>
      </c>
      <c r="J344" s="698" t="s">
        <v>1117</v>
      </c>
      <c r="K344" s="698" t="s">
        <v>1118</v>
      </c>
      <c r="L344" s="701">
        <v>143.68884000000003</v>
      </c>
      <c r="M344" s="701">
        <v>250</v>
      </c>
      <c r="N344" s="702">
        <v>35922.210000000006</v>
      </c>
    </row>
    <row r="345" spans="1:14" ht="14.4" customHeight="1" x14ac:dyDescent="0.3">
      <c r="A345" s="696" t="s">
        <v>505</v>
      </c>
      <c r="B345" s="697" t="s">
        <v>506</v>
      </c>
      <c r="C345" s="698" t="s">
        <v>519</v>
      </c>
      <c r="D345" s="699" t="s">
        <v>520</v>
      </c>
      <c r="E345" s="700">
        <v>50113001</v>
      </c>
      <c r="F345" s="699" t="s">
        <v>524</v>
      </c>
      <c r="G345" s="698" t="s">
        <v>546</v>
      </c>
      <c r="H345" s="698">
        <v>121088</v>
      </c>
      <c r="I345" s="698">
        <v>21088</v>
      </c>
      <c r="J345" s="698" t="s">
        <v>1119</v>
      </c>
      <c r="K345" s="698" t="s">
        <v>1120</v>
      </c>
      <c r="L345" s="701">
        <v>685.4</v>
      </c>
      <c r="M345" s="701">
        <v>150</v>
      </c>
      <c r="N345" s="702">
        <v>102810</v>
      </c>
    </row>
    <row r="346" spans="1:14" ht="14.4" customHeight="1" x14ac:dyDescent="0.3">
      <c r="A346" s="696" t="s">
        <v>505</v>
      </c>
      <c r="B346" s="697" t="s">
        <v>506</v>
      </c>
      <c r="C346" s="698" t="s">
        <v>519</v>
      </c>
      <c r="D346" s="699" t="s">
        <v>520</v>
      </c>
      <c r="E346" s="700">
        <v>50113001</v>
      </c>
      <c r="F346" s="699" t="s">
        <v>524</v>
      </c>
      <c r="G346" s="698" t="s">
        <v>525</v>
      </c>
      <c r="H346" s="698">
        <v>988179</v>
      </c>
      <c r="I346" s="698">
        <v>0</v>
      </c>
      <c r="J346" s="698" t="s">
        <v>1121</v>
      </c>
      <c r="K346" s="698" t="s">
        <v>507</v>
      </c>
      <c r="L346" s="701">
        <v>87.478750000000005</v>
      </c>
      <c r="M346" s="701">
        <v>16</v>
      </c>
      <c r="N346" s="702">
        <v>1399.66</v>
      </c>
    </row>
    <row r="347" spans="1:14" ht="14.4" customHeight="1" x14ac:dyDescent="0.3">
      <c r="A347" s="696" t="s">
        <v>505</v>
      </c>
      <c r="B347" s="697" t="s">
        <v>506</v>
      </c>
      <c r="C347" s="698" t="s">
        <v>519</v>
      </c>
      <c r="D347" s="699" t="s">
        <v>520</v>
      </c>
      <c r="E347" s="700">
        <v>50113001</v>
      </c>
      <c r="F347" s="699" t="s">
        <v>524</v>
      </c>
      <c r="G347" s="698" t="s">
        <v>525</v>
      </c>
      <c r="H347" s="698">
        <v>103688</v>
      </c>
      <c r="I347" s="698">
        <v>3688</v>
      </c>
      <c r="J347" s="698" t="s">
        <v>1122</v>
      </c>
      <c r="K347" s="698" t="s">
        <v>1123</v>
      </c>
      <c r="L347" s="701">
        <v>53.496153846153838</v>
      </c>
      <c r="M347" s="701">
        <v>13</v>
      </c>
      <c r="N347" s="702">
        <v>695.44999999999993</v>
      </c>
    </row>
    <row r="348" spans="1:14" ht="14.4" customHeight="1" x14ac:dyDescent="0.3">
      <c r="A348" s="696" t="s">
        <v>505</v>
      </c>
      <c r="B348" s="697" t="s">
        <v>506</v>
      </c>
      <c r="C348" s="698" t="s">
        <v>519</v>
      </c>
      <c r="D348" s="699" t="s">
        <v>520</v>
      </c>
      <c r="E348" s="700">
        <v>50113001</v>
      </c>
      <c r="F348" s="699" t="s">
        <v>524</v>
      </c>
      <c r="G348" s="698" t="s">
        <v>525</v>
      </c>
      <c r="H348" s="698">
        <v>196484</v>
      </c>
      <c r="I348" s="698">
        <v>96484</v>
      </c>
      <c r="J348" s="698" t="s">
        <v>1124</v>
      </c>
      <c r="K348" s="698" t="s">
        <v>1125</v>
      </c>
      <c r="L348" s="701">
        <v>79.92</v>
      </c>
      <c r="M348" s="701">
        <v>3</v>
      </c>
      <c r="N348" s="702">
        <v>239.76000000000002</v>
      </c>
    </row>
    <row r="349" spans="1:14" ht="14.4" customHeight="1" x14ac:dyDescent="0.3">
      <c r="A349" s="696" t="s">
        <v>505</v>
      </c>
      <c r="B349" s="697" t="s">
        <v>506</v>
      </c>
      <c r="C349" s="698" t="s">
        <v>519</v>
      </c>
      <c r="D349" s="699" t="s">
        <v>520</v>
      </c>
      <c r="E349" s="700">
        <v>50113001</v>
      </c>
      <c r="F349" s="699" t="s">
        <v>524</v>
      </c>
      <c r="G349" s="698" t="s">
        <v>525</v>
      </c>
      <c r="H349" s="698">
        <v>216573</v>
      </c>
      <c r="I349" s="698">
        <v>216573</v>
      </c>
      <c r="J349" s="698" t="s">
        <v>1126</v>
      </c>
      <c r="K349" s="698" t="s">
        <v>1127</v>
      </c>
      <c r="L349" s="701">
        <v>61.779999999999987</v>
      </c>
      <c r="M349" s="701">
        <v>13</v>
      </c>
      <c r="N349" s="702">
        <v>803.13999999999987</v>
      </c>
    </row>
    <row r="350" spans="1:14" ht="14.4" customHeight="1" x14ac:dyDescent="0.3">
      <c r="A350" s="696" t="s">
        <v>505</v>
      </c>
      <c r="B350" s="697" t="s">
        <v>506</v>
      </c>
      <c r="C350" s="698" t="s">
        <v>519</v>
      </c>
      <c r="D350" s="699" t="s">
        <v>520</v>
      </c>
      <c r="E350" s="700">
        <v>50113001</v>
      </c>
      <c r="F350" s="699" t="s">
        <v>524</v>
      </c>
      <c r="G350" s="698" t="s">
        <v>546</v>
      </c>
      <c r="H350" s="698">
        <v>180081</v>
      </c>
      <c r="I350" s="698">
        <v>180081</v>
      </c>
      <c r="J350" s="698" t="s">
        <v>1128</v>
      </c>
      <c r="K350" s="698" t="s">
        <v>1129</v>
      </c>
      <c r="L350" s="701">
        <v>686</v>
      </c>
      <c r="M350" s="701">
        <v>1</v>
      </c>
      <c r="N350" s="702">
        <v>686</v>
      </c>
    </row>
    <row r="351" spans="1:14" ht="14.4" customHeight="1" x14ac:dyDescent="0.3">
      <c r="A351" s="696" t="s">
        <v>505</v>
      </c>
      <c r="B351" s="697" t="s">
        <v>506</v>
      </c>
      <c r="C351" s="698" t="s">
        <v>519</v>
      </c>
      <c r="D351" s="699" t="s">
        <v>520</v>
      </c>
      <c r="E351" s="700">
        <v>50113001</v>
      </c>
      <c r="F351" s="699" t="s">
        <v>524</v>
      </c>
      <c r="G351" s="698" t="s">
        <v>525</v>
      </c>
      <c r="H351" s="698">
        <v>100610</v>
      </c>
      <c r="I351" s="698">
        <v>610</v>
      </c>
      <c r="J351" s="698" t="s">
        <v>1130</v>
      </c>
      <c r="K351" s="698" t="s">
        <v>1131</v>
      </c>
      <c r="L351" s="701">
        <v>72.331224529790404</v>
      </c>
      <c r="M351" s="701">
        <v>490</v>
      </c>
      <c r="N351" s="702">
        <v>35442.3000195973</v>
      </c>
    </row>
    <row r="352" spans="1:14" ht="14.4" customHeight="1" x14ac:dyDescent="0.3">
      <c r="A352" s="696" t="s">
        <v>505</v>
      </c>
      <c r="B352" s="697" t="s">
        <v>506</v>
      </c>
      <c r="C352" s="698" t="s">
        <v>519</v>
      </c>
      <c r="D352" s="699" t="s">
        <v>520</v>
      </c>
      <c r="E352" s="700">
        <v>50113001</v>
      </c>
      <c r="F352" s="699" t="s">
        <v>524</v>
      </c>
      <c r="G352" s="698" t="s">
        <v>525</v>
      </c>
      <c r="H352" s="698">
        <v>100612</v>
      </c>
      <c r="I352" s="698">
        <v>612</v>
      </c>
      <c r="J352" s="698" t="s">
        <v>1132</v>
      </c>
      <c r="K352" s="698" t="s">
        <v>592</v>
      </c>
      <c r="L352" s="701">
        <v>66.950038022813658</v>
      </c>
      <c r="M352" s="701">
        <v>263</v>
      </c>
      <c r="N352" s="702">
        <v>17607.859999999993</v>
      </c>
    </row>
    <row r="353" spans="1:14" ht="14.4" customHeight="1" x14ac:dyDescent="0.3">
      <c r="A353" s="696" t="s">
        <v>505</v>
      </c>
      <c r="B353" s="697" t="s">
        <v>506</v>
      </c>
      <c r="C353" s="698" t="s">
        <v>519</v>
      </c>
      <c r="D353" s="699" t="s">
        <v>520</v>
      </c>
      <c r="E353" s="700">
        <v>50113001</v>
      </c>
      <c r="F353" s="699" t="s">
        <v>524</v>
      </c>
      <c r="G353" s="698" t="s">
        <v>525</v>
      </c>
      <c r="H353" s="698">
        <v>153940</v>
      </c>
      <c r="I353" s="698">
        <v>53940</v>
      </c>
      <c r="J353" s="698" t="s">
        <v>1132</v>
      </c>
      <c r="K353" s="698" t="s">
        <v>1133</v>
      </c>
      <c r="L353" s="701">
        <v>65.09</v>
      </c>
      <c r="M353" s="701">
        <v>1</v>
      </c>
      <c r="N353" s="702">
        <v>65.09</v>
      </c>
    </row>
    <row r="354" spans="1:14" ht="14.4" customHeight="1" x14ac:dyDescent="0.3">
      <c r="A354" s="696" t="s">
        <v>505</v>
      </c>
      <c r="B354" s="697" t="s">
        <v>506</v>
      </c>
      <c r="C354" s="698" t="s">
        <v>519</v>
      </c>
      <c r="D354" s="699" t="s">
        <v>520</v>
      </c>
      <c r="E354" s="700">
        <v>50113001</v>
      </c>
      <c r="F354" s="699" t="s">
        <v>524</v>
      </c>
      <c r="G354" s="698" t="s">
        <v>525</v>
      </c>
      <c r="H354" s="698">
        <v>145989</v>
      </c>
      <c r="I354" s="698">
        <v>45989</v>
      </c>
      <c r="J354" s="698" t="s">
        <v>1134</v>
      </c>
      <c r="K354" s="698" t="s">
        <v>1135</v>
      </c>
      <c r="L354" s="701">
        <v>60.76</v>
      </c>
      <c r="M354" s="701">
        <v>1</v>
      </c>
      <c r="N354" s="702">
        <v>60.76</v>
      </c>
    </row>
    <row r="355" spans="1:14" ht="14.4" customHeight="1" x14ac:dyDescent="0.3">
      <c r="A355" s="696" t="s">
        <v>505</v>
      </c>
      <c r="B355" s="697" t="s">
        <v>506</v>
      </c>
      <c r="C355" s="698" t="s">
        <v>519</v>
      </c>
      <c r="D355" s="699" t="s">
        <v>520</v>
      </c>
      <c r="E355" s="700">
        <v>50113001</v>
      </c>
      <c r="F355" s="699" t="s">
        <v>524</v>
      </c>
      <c r="G355" s="698" t="s">
        <v>525</v>
      </c>
      <c r="H355" s="698">
        <v>114711</v>
      </c>
      <c r="I355" s="698">
        <v>14711</v>
      </c>
      <c r="J355" s="698" t="s">
        <v>1136</v>
      </c>
      <c r="K355" s="698" t="s">
        <v>1137</v>
      </c>
      <c r="L355" s="701">
        <v>54.420000000000009</v>
      </c>
      <c r="M355" s="701">
        <v>6</v>
      </c>
      <c r="N355" s="702">
        <v>326.52000000000004</v>
      </c>
    </row>
    <row r="356" spans="1:14" ht="14.4" customHeight="1" x14ac:dyDescent="0.3">
      <c r="A356" s="696" t="s">
        <v>505</v>
      </c>
      <c r="B356" s="697" t="s">
        <v>506</v>
      </c>
      <c r="C356" s="698" t="s">
        <v>519</v>
      </c>
      <c r="D356" s="699" t="s">
        <v>520</v>
      </c>
      <c r="E356" s="700">
        <v>50113001</v>
      </c>
      <c r="F356" s="699" t="s">
        <v>524</v>
      </c>
      <c r="G356" s="698" t="s">
        <v>546</v>
      </c>
      <c r="H356" s="698">
        <v>189657</v>
      </c>
      <c r="I356" s="698">
        <v>189657</v>
      </c>
      <c r="J356" s="698" t="s">
        <v>1138</v>
      </c>
      <c r="K356" s="698" t="s">
        <v>1139</v>
      </c>
      <c r="L356" s="701">
        <v>76.47</v>
      </c>
      <c r="M356" s="701">
        <v>1</v>
      </c>
      <c r="N356" s="702">
        <v>76.47</v>
      </c>
    </row>
    <row r="357" spans="1:14" ht="14.4" customHeight="1" x14ac:dyDescent="0.3">
      <c r="A357" s="696" t="s">
        <v>505</v>
      </c>
      <c r="B357" s="697" t="s">
        <v>506</v>
      </c>
      <c r="C357" s="698" t="s">
        <v>519</v>
      </c>
      <c r="D357" s="699" t="s">
        <v>520</v>
      </c>
      <c r="E357" s="700">
        <v>50113001</v>
      </c>
      <c r="F357" s="699" t="s">
        <v>524</v>
      </c>
      <c r="G357" s="698" t="s">
        <v>525</v>
      </c>
      <c r="H357" s="698">
        <v>184360</v>
      </c>
      <c r="I357" s="698">
        <v>84360</v>
      </c>
      <c r="J357" s="698" t="s">
        <v>1140</v>
      </c>
      <c r="K357" s="698" t="s">
        <v>1141</v>
      </c>
      <c r="L357" s="701">
        <v>149.67999999999995</v>
      </c>
      <c r="M357" s="701">
        <v>1</v>
      </c>
      <c r="N357" s="702">
        <v>149.67999999999995</v>
      </c>
    </row>
    <row r="358" spans="1:14" ht="14.4" customHeight="1" x14ac:dyDescent="0.3">
      <c r="A358" s="696" t="s">
        <v>505</v>
      </c>
      <c r="B358" s="697" t="s">
        <v>506</v>
      </c>
      <c r="C358" s="698" t="s">
        <v>519</v>
      </c>
      <c r="D358" s="699" t="s">
        <v>520</v>
      </c>
      <c r="E358" s="700">
        <v>50113001</v>
      </c>
      <c r="F358" s="699" t="s">
        <v>524</v>
      </c>
      <c r="G358" s="698" t="s">
        <v>525</v>
      </c>
      <c r="H358" s="698">
        <v>104380</v>
      </c>
      <c r="I358" s="698">
        <v>4380</v>
      </c>
      <c r="J358" s="698" t="s">
        <v>1142</v>
      </c>
      <c r="K358" s="698" t="s">
        <v>1143</v>
      </c>
      <c r="L358" s="701">
        <v>356.2</v>
      </c>
      <c r="M358" s="701">
        <v>2</v>
      </c>
      <c r="N358" s="702">
        <v>712.4</v>
      </c>
    </row>
    <row r="359" spans="1:14" ht="14.4" customHeight="1" x14ac:dyDescent="0.3">
      <c r="A359" s="696" t="s">
        <v>505</v>
      </c>
      <c r="B359" s="697" t="s">
        <v>506</v>
      </c>
      <c r="C359" s="698" t="s">
        <v>519</v>
      </c>
      <c r="D359" s="699" t="s">
        <v>520</v>
      </c>
      <c r="E359" s="700">
        <v>50113001</v>
      </c>
      <c r="F359" s="699" t="s">
        <v>524</v>
      </c>
      <c r="G359" s="698" t="s">
        <v>525</v>
      </c>
      <c r="H359" s="698">
        <v>844764</v>
      </c>
      <c r="I359" s="698">
        <v>105943</v>
      </c>
      <c r="J359" s="698" t="s">
        <v>1144</v>
      </c>
      <c r="K359" s="698" t="s">
        <v>782</v>
      </c>
      <c r="L359" s="701">
        <v>4503.16</v>
      </c>
      <c r="M359" s="701">
        <v>5</v>
      </c>
      <c r="N359" s="702">
        <v>22515.8</v>
      </c>
    </row>
    <row r="360" spans="1:14" ht="14.4" customHeight="1" x14ac:dyDescent="0.3">
      <c r="A360" s="696" t="s">
        <v>505</v>
      </c>
      <c r="B360" s="697" t="s">
        <v>506</v>
      </c>
      <c r="C360" s="698" t="s">
        <v>519</v>
      </c>
      <c r="D360" s="699" t="s">
        <v>520</v>
      </c>
      <c r="E360" s="700">
        <v>50113001</v>
      </c>
      <c r="F360" s="699" t="s">
        <v>524</v>
      </c>
      <c r="G360" s="698" t="s">
        <v>525</v>
      </c>
      <c r="H360" s="698">
        <v>844242</v>
      </c>
      <c r="I360" s="698">
        <v>105937</v>
      </c>
      <c r="J360" s="698" t="s">
        <v>1145</v>
      </c>
      <c r="K360" s="698" t="s">
        <v>782</v>
      </c>
      <c r="L360" s="701">
        <v>2800</v>
      </c>
      <c r="M360" s="701">
        <v>27</v>
      </c>
      <c r="N360" s="702">
        <v>75600</v>
      </c>
    </row>
    <row r="361" spans="1:14" ht="14.4" customHeight="1" x14ac:dyDescent="0.3">
      <c r="A361" s="696" t="s">
        <v>505</v>
      </c>
      <c r="B361" s="697" t="s">
        <v>506</v>
      </c>
      <c r="C361" s="698" t="s">
        <v>519</v>
      </c>
      <c r="D361" s="699" t="s">
        <v>520</v>
      </c>
      <c r="E361" s="700">
        <v>50113001</v>
      </c>
      <c r="F361" s="699" t="s">
        <v>524</v>
      </c>
      <c r="G361" s="698" t="s">
        <v>546</v>
      </c>
      <c r="H361" s="698">
        <v>216674</v>
      </c>
      <c r="I361" s="698">
        <v>216674</v>
      </c>
      <c r="J361" s="698" t="s">
        <v>1146</v>
      </c>
      <c r="K361" s="698" t="s">
        <v>1147</v>
      </c>
      <c r="L361" s="701">
        <v>0</v>
      </c>
      <c r="M361" s="701">
        <v>0</v>
      </c>
      <c r="N361" s="702">
        <v>0</v>
      </c>
    </row>
    <row r="362" spans="1:14" ht="14.4" customHeight="1" x14ac:dyDescent="0.3">
      <c r="A362" s="696" t="s">
        <v>505</v>
      </c>
      <c r="B362" s="697" t="s">
        <v>506</v>
      </c>
      <c r="C362" s="698" t="s">
        <v>519</v>
      </c>
      <c r="D362" s="699" t="s">
        <v>520</v>
      </c>
      <c r="E362" s="700">
        <v>50113001</v>
      </c>
      <c r="F362" s="699" t="s">
        <v>524</v>
      </c>
      <c r="G362" s="698" t="s">
        <v>507</v>
      </c>
      <c r="H362" s="698">
        <v>850095</v>
      </c>
      <c r="I362" s="698">
        <v>120406</v>
      </c>
      <c r="J362" s="698" t="s">
        <v>1148</v>
      </c>
      <c r="K362" s="698" t="s">
        <v>1149</v>
      </c>
      <c r="L362" s="701">
        <v>62.83499999999998</v>
      </c>
      <c r="M362" s="701">
        <v>-2</v>
      </c>
      <c r="N362" s="702">
        <v>-125.66999999999996</v>
      </c>
    </row>
    <row r="363" spans="1:14" ht="14.4" customHeight="1" x14ac:dyDescent="0.3">
      <c r="A363" s="696" t="s">
        <v>505</v>
      </c>
      <c r="B363" s="697" t="s">
        <v>506</v>
      </c>
      <c r="C363" s="698" t="s">
        <v>519</v>
      </c>
      <c r="D363" s="699" t="s">
        <v>520</v>
      </c>
      <c r="E363" s="700">
        <v>50113001</v>
      </c>
      <c r="F363" s="699" t="s">
        <v>524</v>
      </c>
      <c r="G363" s="698" t="s">
        <v>507</v>
      </c>
      <c r="H363" s="698">
        <v>850680</v>
      </c>
      <c r="I363" s="698">
        <v>120407</v>
      </c>
      <c r="J363" s="698" t="s">
        <v>1150</v>
      </c>
      <c r="K363" s="698" t="s">
        <v>1151</v>
      </c>
      <c r="L363" s="701">
        <v>0</v>
      </c>
      <c r="M363" s="701">
        <v>0</v>
      </c>
      <c r="N363" s="702">
        <v>0</v>
      </c>
    </row>
    <row r="364" spans="1:14" ht="14.4" customHeight="1" x14ac:dyDescent="0.3">
      <c r="A364" s="696" t="s">
        <v>505</v>
      </c>
      <c r="B364" s="697" t="s">
        <v>506</v>
      </c>
      <c r="C364" s="698" t="s">
        <v>519</v>
      </c>
      <c r="D364" s="699" t="s">
        <v>520</v>
      </c>
      <c r="E364" s="700">
        <v>50113001</v>
      </c>
      <c r="F364" s="699" t="s">
        <v>524</v>
      </c>
      <c r="G364" s="698" t="s">
        <v>525</v>
      </c>
      <c r="H364" s="698">
        <v>848632</v>
      </c>
      <c r="I364" s="698">
        <v>125315</v>
      </c>
      <c r="J364" s="698" t="s">
        <v>1152</v>
      </c>
      <c r="K364" s="698" t="s">
        <v>1153</v>
      </c>
      <c r="L364" s="701">
        <v>58.408636363636376</v>
      </c>
      <c r="M364" s="701">
        <v>22</v>
      </c>
      <c r="N364" s="702">
        <v>1284.9900000000002</v>
      </c>
    </row>
    <row r="365" spans="1:14" ht="14.4" customHeight="1" x14ac:dyDescent="0.3">
      <c r="A365" s="696" t="s">
        <v>505</v>
      </c>
      <c r="B365" s="697" t="s">
        <v>506</v>
      </c>
      <c r="C365" s="698" t="s">
        <v>519</v>
      </c>
      <c r="D365" s="699" t="s">
        <v>520</v>
      </c>
      <c r="E365" s="700">
        <v>50113001</v>
      </c>
      <c r="F365" s="699" t="s">
        <v>524</v>
      </c>
      <c r="G365" s="698" t="s">
        <v>525</v>
      </c>
      <c r="H365" s="698">
        <v>162305</v>
      </c>
      <c r="I365" s="698">
        <v>162305</v>
      </c>
      <c r="J365" s="698" t="s">
        <v>1154</v>
      </c>
      <c r="K365" s="698" t="s">
        <v>1155</v>
      </c>
      <c r="L365" s="701">
        <v>178.65999999999991</v>
      </c>
      <c r="M365" s="701">
        <v>1</v>
      </c>
      <c r="N365" s="702">
        <v>178.65999999999991</v>
      </c>
    </row>
    <row r="366" spans="1:14" ht="14.4" customHeight="1" x14ac:dyDescent="0.3">
      <c r="A366" s="696" t="s">
        <v>505</v>
      </c>
      <c r="B366" s="697" t="s">
        <v>506</v>
      </c>
      <c r="C366" s="698" t="s">
        <v>519</v>
      </c>
      <c r="D366" s="699" t="s">
        <v>520</v>
      </c>
      <c r="E366" s="700">
        <v>50113001</v>
      </c>
      <c r="F366" s="699" t="s">
        <v>524</v>
      </c>
      <c r="G366" s="698" t="s">
        <v>546</v>
      </c>
      <c r="H366" s="698">
        <v>187788</v>
      </c>
      <c r="I366" s="698">
        <v>187788</v>
      </c>
      <c r="J366" s="698" t="s">
        <v>1156</v>
      </c>
      <c r="K366" s="698" t="s">
        <v>1157</v>
      </c>
      <c r="L366" s="701">
        <v>100.02000000000002</v>
      </c>
      <c r="M366" s="701">
        <v>1</v>
      </c>
      <c r="N366" s="702">
        <v>100.02000000000002</v>
      </c>
    </row>
    <row r="367" spans="1:14" ht="14.4" customHeight="1" x14ac:dyDescent="0.3">
      <c r="A367" s="696" t="s">
        <v>505</v>
      </c>
      <c r="B367" s="697" t="s">
        <v>506</v>
      </c>
      <c r="C367" s="698" t="s">
        <v>519</v>
      </c>
      <c r="D367" s="699" t="s">
        <v>520</v>
      </c>
      <c r="E367" s="700">
        <v>50113001</v>
      </c>
      <c r="F367" s="699" t="s">
        <v>524</v>
      </c>
      <c r="G367" s="698" t="s">
        <v>525</v>
      </c>
      <c r="H367" s="698">
        <v>191836</v>
      </c>
      <c r="I367" s="698">
        <v>91836</v>
      </c>
      <c r="J367" s="698" t="s">
        <v>1158</v>
      </c>
      <c r="K367" s="698" t="s">
        <v>1159</v>
      </c>
      <c r="L367" s="701">
        <v>44.407058823529418</v>
      </c>
      <c r="M367" s="701">
        <v>17</v>
      </c>
      <c r="N367" s="702">
        <v>754.92000000000007</v>
      </c>
    </row>
    <row r="368" spans="1:14" ht="14.4" customHeight="1" x14ac:dyDescent="0.3">
      <c r="A368" s="696" t="s">
        <v>505</v>
      </c>
      <c r="B368" s="697" t="s">
        <v>506</v>
      </c>
      <c r="C368" s="698" t="s">
        <v>519</v>
      </c>
      <c r="D368" s="699" t="s">
        <v>520</v>
      </c>
      <c r="E368" s="700">
        <v>50113001</v>
      </c>
      <c r="F368" s="699" t="s">
        <v>524</v>
      </c>
      <c r="G368" s="698" t="s">
        <v>525</v>
      </c>
      <c r="H368" s="698">
        <v>159398</v>
      </c>
      <c r="I368" s="698">
        <v>59398</v>
      </c>
      <c r="J368" s="698" t="s">
        <v>1160</v>
      </c>
      <c r="K368" s="698" t="s">
        <v>1161</v>
      </c>
      <c r="L368" s="701">
        <v>267.57666666666677</v>
      </c>
      <c r="M368" s="701">
        <v>3</v>
      </c>
      <c r="N368" s="702">
        <v>802.73000000000025</v>
      </c>
    </row>
    <row r="369" spans="1:14" ht="14.4" customHeight="1" x14ac:dyDescent="0.3">
      <c r="A369" s="696" t="s">
        <v>505</v>
      </c>
      <c r="B369" s="697" t="s">
        <v>506</v>
      </c>
      <c r="C369" s="698" t="s">
        <v>519</v>
      </c>
      <c r="D369" s="699" t="s">
        <v>520</v>
      </c>
      <c r="E369" s="700">
        <v>50113001</v>
      </c>
      <c r="F369" s="699" t="s">
        <v>524</v>
      </c>
      <c r="G369" s="698" t="s">
        <v>525</v>
      </c>
      <c r="H369" s="698">
        <v>184262</v>
      </c>
      <c r="I369" s="698">
        <v>84262</v>
      </c>
      <c r="J369" s="698" t="s">
        <v>1162</v>
      </c>
      <c r="K369" s="698" t="s">
        <v>1163</v>
      </c>
      <c r="L369" s="701">
        <v>132.30000000000001</v>
      </c>
      <c r="M369" s="701">
        <v>2</v>
      </c>
      <c r="N369" s="702">
        <v>264.60000000000002</v>
      </c>
    </row>
    <row r="370" spans="1:14" ht="14.4" customHeight="1" x14ac:dyDescent="0.3">
      <c r="A370" s="696" t="s">
        <v>505</v>
      </c>
      <c r="B370" s="697" t="s">
        <v>506</v>
      </c>
      <c r="C370" s="698" t="s">
        <v>519</v>
      </c>
      <c r="D370" s="699" t="s">
        <v>520</v>
      </c>
      <c r="E370" s="700">
        <v>50113001</v>
      </c>
      <c r="F370" s="699" t="s">
        <v>524</v>
      </c>
      <c r="G370" s="698" t="s">
        <v>525</v>
      </c>
      <c r="H370" s="698">
        <v>201133</v>
      </c>
      <c r="I370" s="698">
        <v>201133</v>
      </c>
      <c r="J370" s="698" t="s">
        <v>1164</v>
      </c>
      <c r="K370" s="698" t="s">
        <v>1165</v>
      </c>
      <c r="L370" s="701">
        <v>225.53000000000009</v>
      </c>
      <c r="M370" s="701">
        <v>18</v>
      </c>
      <c r="N370" s="702">
        <v>4059.5400000000013</v>
      </c>
    </row>
    <row r="371" spans="1:14" ht="14.4" customHeight="1" x14ac:dyDescent="0.3">
      <c r="A371" s="696" t="s">
        <v>505</v>
      </c>
      <c r="B371" s="697" t="s">
        <v>506</v>
      </c>
      <c r="C371" s="698" t="s">
        <v>519</v>
      </c>
      <c r="D371" s="699" t="s">
        <v>520</v>
      </c>
      <c r="E371" s="700">
        <v>50113001</v>
      </c>
      <c r="F371" s="699" t="s">
        <v>524</v>
      </c>
      <c r="G371" s="698" t="s">
        <v>525</v>
      </c>
      <c r="H371" s="698">
        <v>127454</v>
      </c>
      <c r="I371" s="698">
        <v>127454</v>
      </c>
      <c r="J371" s="698" t="s">
        <v>1166</v>
      </c>
      <c r="K371" s="698" t="s">
        <v>1167</v>
      </c>
      <c r="L371" s="701">
        <v>102.08</v>
      </c>
      <c r="M371" s="701">
        <v>3</v>
      </c>
      <c r="N371" s="702">
        <v>306.24</v>
      </c>
    </row>
    <row r="372" spans="1:14" ht="14.4" customHeight="1" x14ac:dyDescent="0.3">
      <c r="A372" s="696" t="s">
        <v>505</v>
      </c>
      <c r="B372" s="697" t="s">
        <v>506</v>
      </c>
      <c r="C372" s="698" t="s">
        <v>519</v>
      </c>
      <c r="D372" s="699" t="s">
        <v>520</v>
      </c>
      <c r="E372" s="700">
        <v>50113001</v>
      </c>
      <c r="F372" s="699" t="s">
        <v>524</v>
      </c>
      <c r="G372" s="698" t="s">
        <v>525</v>
      </c>
      <c r="H372" s="698">
        <v>215851</v>
      </c>
      <c r="I372" s="698">
        <v>215851</v>
      </c>
      <c r="J372" s="698" t="s">
        <v>1168</v>
      </c>
      <c r="K372" s="698" t="s">
        <v>1169</v>
      </c>
      <c r="L372" s="701">
        <v>290.10000000000002</v>
      </c>
      <c r="M372" s="701">
        <v>18</v>
      </c>
      <c r="N372" s="702">
        <v>5221.8</v>
      </c>
    </row>
    <row r="373" spans="1:14" ht="14.4" customHeight="1" x14ac:dyDescent="0.3">
      <c r="A373" s="696" t="s">
        <v>505</v>
      </c>
      <c r="B373" s="697" t="s">
        <v>506</v>
      </c>
      <c r="C373" s="698" t="s">
        <v>519</v>
      </c>
      <c r="D373" s="699" t="s">
        <v>520</v>
      </c>
      <c r="E373" s="700">
        <v>50113001</v>
      </c>
      <c r="F373" s="699" t="s">
        <v>524</v>
      </c>
      <c r="G373" s="698" t="s">
        <v>525</v>
      </c>
      <c r="H373" s="698">
        <v>214619</v>
      </c>
      <c r="I373" s="698">
        <v>214619</v>
      </c>
      <c r="J373" s="698" t="s">
        <v>1170</v>
      </c>
      <c r="K373" s="698" t="s">
        <v>1171</v>
      </c>
      <c r="L373" s="701">
        <v>224.38</v>
      </c>
      <c r="M373" s="701">
        <v>1</v>
      </c>
      <c r="N373" s="702">
        <v>224.38</v>
      </c>
    </row>
    <row r="374" spans="1:14" ht="14.4" customHeight="1" x14ac:dyDescent="0.3">
      <c r="A374" s="696" t="s">
        <v>505</v>
      </c>
      <c r="B374" s="697" t="s">
        <v>506</v>
      </c>
      <c r="C374" s="698" t="s">
        <v>519</v>
      </c>
      <c r="D374" s="699" t="s">
        <v>520</v>
      </c>
      <c r="E374" s="700">
        <v>50113001</v>
      </c>
      <c r="F374" s="699" t="s">
        <v>524</v>
      </c>
      <c r="G374" s="698" t="s">
        <v>525</v>
      </c>
      <c r="H374" s="698">
        <v>104160</v>
      </c>
      <c r="I374" s="698">
        <v>4160</v>
      </c>
      <c r="J374" s="698" t="s">
        <v>1172</v>
      </c>
      <c r="K374" s="698" t="s">
        <v>1173</v>
      </c>
      <c r="L374" s="701">
        <v>64.160000000000025</v>
      </c>
      <c r="M374" s="701">
        <v>2</v>
      </c>
      <c r="N374" s="702">
        <v>128.32000000000005</v>
      </c>
    </row>
    <row r="375" spans="1:14" ht="14.4" customHeight="1" x14ac:dyDescent="0.3">
      <c r="A375" s="696" t="s">
        <v>505</v>
      </c>
      <c r="B375" s="697" t="s">
        <v>506</v>
      </c>
      <c r="C375" s="698" t="s">
        <v>519</v>
      </c>
      <c r="D375" s="699" t="s">
        <v>520</v>
      </c>
      <c r="E375" s="700">
        <v>50113001</v>
      </c>
      <c r="F375" s="699" t="s">
        <v>524</v>
      </c>
      <c r="G375" s="698" t="s">
        <v>546</v>
      </c>
      <c r="H375" s="698">
        <v>190968</v>
      </c>
      <c r="I375" s="698">
        <v>190968</v>
      </c>
      <c r="J375" s="698" t="s">
        <v>1174</v>
      </c>
      <c r="K375" s="698" t="s">
        <v>1139</v>
      </c>
      <c r="L375" s="701">
        <v>195.81</v>
      </c>
      <c r="M375" s="701">
        <v>1</v>
      </c>
      <c r="N375" s="702">
        <v>195.81</v>
      </c>
    </row>
    <row r="376" spans="1:14" ht="14.4" customHeight="1" x14ac:dyDescent="0.3">
      <c r="A376" s="696" t="s">
        <v>505</v>
      </c>
      <c r="B376" s="697" t="s">
        <v>506</v>
      </c>
      <c r="C376" s="698" t="s">
        <v>519</v>
      </c>
      <c r="D376" s="699" t="s">
        <v>520</v>
      </c>
      <c r="E376" s="700">
        <v>50113001</v>
      </c>
      <c r="F376" s="699" t="s">
        <v>524</v>
      </c>
      <c r="G376" s="698" t="s">
        <v>546</v>
      </c>
      <c r="H376" s="698">
        <v>190958</v>
      </c>
      <c r="I376" s="698">
        <v>190958</v>
      </c>
      <c r="J376" s="698" t="s">
        <v>1175</v>
      </c>
      <c r="K376" s="698" t="s">
        <v>1139</v>
      </c>
      <c r="L376" s="701">
        <v>140.72</v>
      </c>
      <c r="M376" s="701">
        <v>1</v>
      </c>
      <c r="N376" s="702">
        <v>140.72</v>
      </c>
    </row>
    <row r="377" spans="1:14" ht="14.4" customHeight="1" x14ac:dyDescent="0.3">
      <c r="A377" s="696" t="s">
        <v>505</v>
      </c>
      <c r="B377" s="697" t="s">
        <v>506</v>
      </c>
      <c r="C377" s="698" t="s">
        <v>519</v>
      </c>
      <c r="D377" s="699" t="s">
        <v>520</v>
      </c>
      <c r="E377" s="700">
        <v>50113001</v>
      </c>
      <c r="F377" s="699" t="s">
        <v>524</v>
      </c>
      <c r="G377" s="698" t="s">
        <v>546</v>
      </c>
      <c r="H377" s="698">
        <v>15866</v>
      </c>
      <c r="I377" s="698">
        <v>15866</v>
      </c>
      <c r="J377" s="698" t="s">
        <v>1176</v>
      </c>
      <c r="K377" s="698" t="s">
        <v>1177</v>
      </c>
      <c r="L377" s="701">
        <v>201.20999999999998</v>
      </c>
      <c r="M377" s="701">
        <v>2</v>
      </c>
      <c r="N377" s="702">
        <v>402.41999999999996</v>
      </c>
    </row>
    <row r="378" spans="1:14" ht="14.4" customHeight="1" x14ac:dyDescent="0.3">
      <c r="A378" s="696" t="s">
        <v>505</v>
      </c>
      <c r="B378" s="697" t="s">
        <v>506</v>
      </c>
      <c r="C378" s="698" t="s">
        <v>519</v>
      </c>
      <c r="D378" s="699" t="s">
        <v>520</v>
      </c>
      <c r="E378" s="700">
        <v>50113001</v>
      </c>
      <c r="F378" s="699" t="s">
        <v>524</v>
      </c>
      <c r="G378" s="698" t="s">
        <v>546</v>
      </c>
      <c r="H378" s="698">
        <v>56976</v>
      </c>
      <c r="I378" s="698">
        <v>56976</v>
      </c>
      <c r="J378" s="698" t="s">
        <v>1178</v>
      </c>
      <c r="K378" s="698" t="s">
        <v>1179</v>
      </c>
      <c r="L378" s="701">
        <v>11.839999999999996</v>
      </c>
      <c r="M378" s="701">
        <v>1</v>
      </c>
      <c r="N378" s="702">
        <v>11.839999999999996</v>
      </c>
    </row>
    <row r="379" spans="1:14" ht="14.4" customHeight="1" x14ac:dyDescent="0.3">
      <c r="A379" s="696" t="s">
        <v>505</v>
      </c>
      <c r="B379" s="697" t="s">
        <v>506</v>
      </c>
      <c r="C379" s="698" t="s">
        <v>519</v>
      </c>
      <c r="D379" s="699" t="s">
        <v>520</v>
      </c>
      <c r="E379" s="700">
        <v>50113001</v>
      </c>
      <c r="F379" s="699" t="s">
        <v>524</v>
      </c>
      <c r="G379" s="698" t="s">
        <v>507</v>
      </c>
      <c r="H379" s="698">
        <v>169252</v>
      </c>
      <c r="I379" s="698">
        <v>169252</v>
      </c>
      <c r="J379" s="698" t="s">
        <v>1180</v>
      </c>
      <c r="K379" s="698" t="s">
        <v>1181</v>
      </c>
      <c r="L379" s="701">
        <v>227.24999999999989</v>
      </c>
      <c r="M379" s="701">
        <v>1</v>
      </c>
      <c r="N379" s="702">
        <v>227.24999999999989</v>
      </c>
    </row>
    <row r="380" spans="1:14" ht="14.4" customHeight="1" x14ac:dyDescent="0.3">
      <c r="A380" s="696" t="s">
        <v>505</v>
      </c>
      <c r="B380" s="697" t="s">
        <v>506</v>
      </c>
      <c r="C380" s="698" t="s">
        <v>519</v>
      </c>
      <c r="D380" s="699" t="s">
        <v>520</v>
      </c>
      <c r="E380" s="700">
        <v>50113001</v>
      </c>
      <c r="F380" s="699" t="s">
        <v>524</v>
      </c>
      <c r="G380" s="698" t="s">
        <v>546</v>
      </c>
      <c r="H380" s="698">
        <v>150316</v>
      </c>
      <c r="I380" s="698">
        <v>50316</v>
      </c>
      <c r="J380" s="698" t="s">
        <v>1182</v>
      </c>
      <c r="K380" s="698" t="s">
        <v>543</v>
      </c>
      <c r="L380" s="701">
        <v>69.37</v>
      </c>
      <c r="M380" s="701">
        <v>1</v>
      </c>
      <c r="N380" s="702">
        <v>69.37</v>
      </c>
    </row>
    <row r="381" spans="1:14" ht="14.4" customHeight="1" x14ac:dyDescent="0.3">
      <c r="A381" s="696" t="s">
        <v>505</v>
      </c>
      <c r="B381" s="697" t="s">
        <v>506</v>
      </c>
      <c r="C381" s="698" t="s">
        <v>519</v>
      </c>
      <c r="D381" s="699" t="s">
        <v>520</v>
      </c>
      <c r="E381" s="700">
        <v>50113001</v>
      </c>
      <c r="F381" s="699" t="s">
        <v>524</v>
      </c>
      <c r="G381" s="698" t="s">
        <v>546</v>
      </c>
      <c r="H381" s="698">
        <v>845240</v>
      </c>
      <c r="I381" s="698">
        <v>109799</v>
      </c>
      <c r="J381" s="698" t="s">
        <v>1183</v>
      </c>
      <c r="K381" s="698" t="s">
        <v>1157</v>
      </c>
      <c r="L381" s="701">
        <v>80.739999999999995</v>
      </c>
      <c r="M381" s="701">
        <v>2</v>
      </c>
      <c r="N381" s="702">
        <v>161.47999999999999</v>
      </c>
    </row>
    <row r="382" spans="1:14" ht="14.4" customHeight="1" x14ac:dyDescent="0.3">
      <c r="A382" s="696" t="s">
        <v>505</v>
      </c>
      <c r="B382" s="697" t="s">
        <v>506</v>
      </c>
      <c r="C382" s="698" t="s">
        <v>519</v>
      </c>
      <c r="D382" s="699" t="s">
        <v>520</v>
      </c>
      <c r="E382" s="700">
        <v>50113001</v>
      </c>
      <c r="F382" s="699" t="s">
        <v>524</v>
      </c>
      <c r="G382" s="698" t="s">
        <v>525</v>
      </c>
      <c r="H382" s="698">
        <v>844735</v>
      </c>
      <c r="I382" s="698">
        <v>115527</v>
      </c>
      <c r="J382" s="698" t="s">
        <v>1184</v>
      </c>
      <c r="K382" s="698" t="s">
        <v>1185</v>
      </c>
      <c r="L382" s="701">
        <v>251.38</v>
      </c>
      <c r="M382" s="701">
        <v>2</v>
      </c>
      <c r="N382" s="702">
        <v>502.76</v>
      </c>
    </row>
    <row r="383" spans="1:14" ht="14.4" customHeight="1" x14ac:dyDescent="0.3">
      <c r="A383" s="696" t="s">
        <v>505</v>
      </c>
      <c r="B383" s="697" t="s">
        <v>506</v>
      </c>
      <c r="C383" s="698" t="s">
        <v>519</v>
      </c>
      <c r="D383" s="699" t="s">
        <v>520</v>
      </c>
      <c r="E383" s="700">
        <v>50113001</v>
      </c>
      <c r="F383" s="699" t="s">
        <v>524</v>
      </c>
      <c r="G383" s="698" t="s">
        <v>546</v>
      </c>
      <c r="H383" s="698">
        <v>115551</v>
      </c>
      <c r="I383" s="698">
        <v>115551</v>
      </c>
      <c r="J383" s="698" t="s">
        <v>1186</v>
      </c>
      <c r="K383" s="698" t="s">
        <v>1187</v>
      </c>
      <c r="L383" s="701">
        <v>71.12</v>
      </c>
      <c r="M383" s="701">
        <v>2</v>
      </c>
      <c r="N383" s="702">
        <v>142.24</v>
      </c>
    </row>
    <row r="384" spans="1:14" ht="14.4" customHeight="1" x14ac:dyDescent="0.3">
      <c r="A384" s="696" t="s">
        <v>505</v>
      </c>
      <c r="B384" s="697" t="s">
        <v>506</v>
      </c>
      <c r="C384" s="698" t="s">
        <v>519</v>
      </c>
      <c r="D384" s="699" t="s">
        <v>520</v>
      </c>
      <c r="E384" s="700">
        <v>50113001</v>
      </c>
      <c r="F384" s="699" t="s">
        <v>524</v>
      </c>
      <c r="G384" s="698" t="s">
        <v>546</v>
      </c>
      <c r="H384" s="698">
        <v>158380</v>
      </c>
      <c r="I384" s="698">
        <v>58380</v>
      </c>
      <c r="J384" s="698" t="s">
        <v>1188</v>
      </c>
      <c r="K384" s="698" t="s">
        <v>1189</v>
      </c>
      <c r="L384" s="701">
        <v>81.202000000000027</v>
      </c>
      <c r="M384" s="701">
        <v>40</v>
      </c>
      <c r="N384" s="702">
        <v>3248.0800000000013</v>
      </c>
    </row>
    <row r="385" spans="1:14" ht="14.4" customHeight="1" x14ac:dyDescent="0.3">
      <c r="A385" s="696" t="s">
        <v>505</v>
      </c>
      <c r="B385" s="697" t="s">
        <v>506</v>
      </c>
      <c r="C385" s="698" t="s">
        <v>519</v>
      </c>
      <c r="D385" s="699" t="s">
        <v>520</v>
      </c>
      <c r="E385" s="700">
        <v>50113001</v>
      </c>
      <c r="F385" s="699" t="s">
        <v>524</v>
      </c>
      <c r="G385" s="698" t="s">
        <v>525</v>
      </c>
      <c r="H385" s="698">
        <v>103550</v>
      </c>
      <c r="I385" s="698">
        <v>3550</v>
      </c>
      <c r="J385" s="698" t="s">
        <v>1190</v>
      </c>
      <c r="K385" s="698" t="s">
        <v>1191</v>
      </c>
      <c r="L385" s="701">
        <v>39.860000000000014</v>
      </c>
      <c r="M385" s="701">
        <v>1</v>
      </c>
      <c r="N385" s="702">
        <v>39.860000000000014</v>
      </c>
    </row>
    <row r="386" spans="1:14" ht="14.4" customHeight="1" x14ac:dyDescent="0.3">
      <c r="A386" s="696" t="s">
        <v>505</v>
      </c>
      <c r="B386" s="697" t="s">
        <v>506</v>
      </c>
      <c r="C386" s="698" t="s">
        <v>519</v>
      </c>
      <c r="D386" s="699" t="s">
        <v>520</v>
      </c>
      <c r="E386" s="700">
        <v>50113001</v>
      </c>
      <c r="F386" s="699" t="s">
        <v>524</v>
      </c>
      <c r="G386" s="698" t="s">
        <v>525</v>
      </c>
      <c r="H386" s="698">
        <v>184325</v>
      </c>
      <c r="I386" s="698">
        <v>84325</v>
      </c>
      <c r="J386" s="698" t="s">
        <v>1192</v>
      </c>
      <c r="K386" s="698" t="s">
        <v>1193</v>
      </c>
      <c r="L386" s="701">
        <v>76.74199999999999</v>
      </c>
      <c r="M386" s="701">
        <v>5</v>
      </c>
      <c r="N386" s="702">
        <v>383.71</v>
      </c>
    </row>
    <row r="387" spans="1:14" ht="14.4" customHeight="1" x14ac:dyDescent="0.3">
      <c r="A387" s="696" t="s">
        <v>505</v>
      </c>
      <c r="B387" s="697" t="s">
        <v>506</v>
      </c>
      <c r="C387" s="698" t="s">
        <v>519</v>
      </c>
      <c r="D387" s="699" t="s">
        <v>520</v>
      </c>
      <c r="E387" s="700">
        <v>50113001</v>
      </c>
      <c r="F387" s="699" t="s">
        <v>524</v>
      </c>
      <c r="G387" s="698" t="s">
        <v>525</v>
      </c>
      <c r="H387" s="698">
        <v>142595</v>
      </c>
      <c r="I387" s="698">
        <v>42595</v>
      </c>
      <c r="J387" s="698" t="s">
        <v>1194</v>
      </c>
      <c r="K387" s="698" t="s">
        <v>1019</v>
      </c>
      <c r="L387" s="701">
        <v>946.23192893401006</v>
      </c>
      <c r="M387" s="701">
        <v>197</v>
      </c>
      <c r="N387" s="702">
        <v>186407.68999999997</v>
      </c>
    </row>
    <row r="388" spans="1:14" ht="14.4" customHeight="1" x14ac:dyDescent="0.3">
      <c r="A388" s="696" t="s">
        <v>505</v>
      </c>
      <c r="B388" s="697" t="s">
        <v>506</v>
      </c>
      <c r="C388" s="698" t="s">
        <v>519</v>
      </c>
      <c r="D388" s="699" t="s">
        <v>520</v>
      </c>
      <c r="E388" s="700">
        <v>50113001</v>
      </c>
      <c r="F388" s="699" t="s">
        <v>524</v>
      </c>
      <c r="G388" s="698" t="s">
        <v>525</v>
      </c>
      <c r="H388" s="698">
        <v>100641</v>
      </c>
      <c r="I388" s="698">
        <v>641</v>
      </c>
      <c r="J388" s="698" t="s">
        <v>1195</v>
      </c>
      <c r="K388" s="698" t="s">
        <v>1196</v>
      </c>
      <c r="L388" s="701">
        <v>31.240000000000002</v>
      </c>
      <c r="M388" s="701">
        <v>2</v>
      </c>
      <c r="N388" s="702">
        <v>62.480000000000004</v>
      </c>
    </row>
    <row r="389" spans="1:14" ht="14.4" customHeight="1" x14ac:dyDescent="0.3">
      <c r="A389" s="696" t="s">
        <v>505</v>
      </c>
      <c r="B389" s="697" t="s">
        <v>506</v>
      </c>
      <c r="C389" s="698" t="s">
        <v>519</v>
      </c>
      <c r="D389" s="699" t="s">
        <v>520</v>
      </c>
      <c r="E389" s="700">
        <v>50113001</v>
      </c>
      <c r="F389" s="699" t="s">
        <v>524</v>
      </c>
      <c r="G389" s="698" t="s">
        <v>525</v>
      </c>
      <c r="H389" s="698">
        <v>843996</v>
      </c>
      <c r="I389" s="698">
        <v>100191</v>
      </c>
      <c r="J389" s="698" t="s">
        <v>1197</v>
      </c>
      <c r="K389" s="698" t="s">
        <v>1198</v>
      </c>
      <c r="L389" s="701">
        <v>3652</v>
      </c>
      <c r="M389" s="701">
        <v>7</v>
      </c>
      <c r="N389" s="702">
        <v>25564</v>
      </c>
    </row>
    <row r="390" spans="1:14" ht="14.4" customHeight="1" x14ac:dyDescent="0.3">
      <c r="A390" s="696" t="s">
        <v>505</v>
      </c>
      <c r="B390" s="697" t="s">
        <v>506</v>
      </c>
      <c r="C390" s="698" t="s">
        <v>519</v>
      </c>
      <c r="D390" s="699" t="s">
        <v>520</v>
      </c>
      <c r="E390" s="700">
        <v>50113001</v>
      </c>
      <c r="F390" s="699" t="s">
        <v>524</v>
      </c>
      <c r="G390" s="698" t="s">
        <v>525</v>
      </c>
      <c r="H390" s="698">
        <v>840813</v>
      </c>
      <c r="I390" s="698">
        <v>135844</v>
      </c>
      <c r="J390" s="698" t="s">
        <v>1199</v>
      </c>
      <c r="K390" s="698" t="s">
        <v>1200</v>
      </c>
      <c r="L390" s="701">
        <v>2145</v>
      </c>
      <c r="M390" s="701">
        <v>17</v>
      </c>
      <c r="N390" s="702">
        <v>36465</v>
      </c>
    </row>
    <row r="391" spans="1:14" ht="14.4" customHeight="1" x14ac:dyDescent="0.3">
      <c r="A391" s="696" t="s">
        <v>505</v>
      </c>
      <c r="B391" s="697" t="s">
        <v>506</v>
      </c>
      <c r="C391" s="698" t="s">
        <v>519</v>
      </c>
      <c r="D391" s="699" t="s">
        <v>520</v>
      </c>
      <c r="E391" s="700">
        <v>50113001</v>
      </c>
      <c r="F391" s="699" t="s">
        <v>524</v>
      </c>
      <c r="G391" s="698" t="s">
        <v>546</v>
      </c>
      <c r="H391" s="698">
        <v>192342</v>
      </c>
      <c r="I391" s="698">
        <v>192342</v>
      </c>
      <c r="J391" s="698" t="s">
        <v>1201</v>
      </c>
      <c r="K391" s="698" t="s">
        <v>1202</v>
      </c>
      <c r="L391" s="701">
        <v>137.53</v>
      </c>
      <c r="M391" s="701">
        <v>1</v>
      </c>
      <c r="N391" s="702">
        <v>137.53</v>
      </c>
    </row>
    <row r="392" spans="1:14" ht="14.4" customHeight="1" x14ac:dyDescent="0.3">
      <c r="A392" s="696" t="s">
        <v>505</v>
      </c>
      <c r="B392" s="697" t="s">
        <v>506</v>
      </c>
      <c r="C392" s="698" t="s">
        <v>519</v>
      </c>
      <c r="D392" s="699" t="s">
        <v>520</v>
      </c>
      <c r="E392" s="700">
        <v>50113001</v>
      </c>
      <c r="F392" s="699" t="s">
        <v>524</v>
      </c>
      <c r="G392" s="698" t="s">
        <v>525</v>
      </c>
      <c r="H392" s="698">
        <v>148673</v>
      </c>
      <c r="I392" s="698">
        <v>148673</v>
      </c>
      <c r="J392" s="698" t="s">
        <v>1203</v>
      </c>
      <c r="K392" s="698" t="s">
        <v>1204</v>
      </c>
      <c r="L392" s="701">
        <v>146.30000000000001</v>
      </c>
      <c r="M392" s="701">
        <v>1</v>
      </c>
      <c r="N392" s="702">
        <v>146.30000000000001</v>
      </c>
    </row>
    <row r="393" spans="1:14" ht="14.4" customHeight="1" x14ac:dyDescent="0.3">
      <c r="A393" s="696" t="s">
        <v>505</v>
      </c>
      <c r="B393" s="697" t="s">
        <v>506</v>
      </c>
      <c r="C393" s="698" t="s">
        <v>519</v>
      </c>
      <c r="D393" s="699" t="s">
        <v>520</v>
      </c>
      <c r="E393" s="700">
        <v>50113001</v>
      </c>
      <c r="F393" s="699" t="s">
        <v>524</v>
      </c>
      <c r="G393" s="698" t="s">
        <v>525</v>
      </c>
      <c r="H393" s="698">
        <v>148675</v>
      </c>
      <c r="I393" s="698">
        <v>148675</v>
      </c>
      <c r="J393" s="698" t="s">
        <v>1203</v>
      </c>
      <c r="K393" s="698" t="s">
        <v>1205</v>
      </c>
      <c r="L393" s="701">
        <v>177.36000000000021</v>
      </c>
      <c r="M393" s="701">
        <v>1</v>
      </c>
      <c r="N393" s="702">
        <v>177.36000000000021</v>
      </c>
    </row>
    <row r="394" spans="1:14" ht="14.4" customHeight="1" x14ac:dyDescent="0.3">
      <c r="A394" s="696" t="s">
        <v>505</v>
      </c>
      <c r="B394" s="697" t="s">
        <v>506</v>
      </c>
      <c r="C394" s="698" t="s">
        <v>519</v>
      </c>
      <c r="D394" s="699" t="s">
        <v>520</v>
      </c>
      <c r="E394" s="700">
        <v>50113001</v>
      </c>
      <c r="F394" s="699" t="s">
        <v>524</v>
      </c>
      <c r="G394" s="698" t="s">
        <v>546</v>
      </c>
      <c r="H394" s="698">
        <v>199600</v>
      </c>
      <c r="I394" s="698">
        <v>99600</v>
      </c>
      <c r="J394" s="698" t="s">
        <v>1206</v>
      </c>
      <c r="K394" s="698" t="s">
        <v>1073</v>
      </c>
      <c r="L394" s="701">
        <v>99.89</v>
      </c>
      <c r="M394" s="701">
        <v>1</v>
      </c>
      <c r="N394" s="702">
        <v>99.89</v>
      </c>
    </row>
    <row r="395" spans="1:14" ht="14.4" customHeight="1" x14ac:dyDescent="0.3">
      <c r="A395" s="696" t="s">
        <v>505</v>
      </c>
      <c r="B395" s="697" t="s">
        <v>506</v>
      </c>
      <c r="C395" s="698" t="s">
        <v>519</v>
      </c>
      <c r="D395" s="699" t="s">
        <v>520</v>
      </c>
      <c r="E395" s="700">
        <v>50113001</v>
      </c>
      <c r="F395" s="699" t="s">
        <v>524</v>
      </c>
      <c r="G395" s="698" t="s">
        <v>546</v>
      </c>
      <c r="H395" s="698">
        <v>166030</v>
      </c>
      <c r="I395" s="698">
        <v>66030</v>
      </c>
      <c r="J395" s="698" t="s">
        <v>1206</v>
      </c>
      <c r="K395" s="698" t="s">
        <v>1207</v>
      </c>
      <c r="L395" s="701">
        <v>29.87</v>
      </c>
      <c r="M395" s="701">
        <v>1</v>
      </c>
      <c r="N395" s="702">
        <v>29.87</v>
      </c>
    </row>
    <row r="396" spans="1:14" ht="14.4" customHeight="1" x14ac:dyDescent="0.3">
      <c r="A396" s="696" t="s">
        <v>505</v>
      </c>
      <c r="B396" s="697" t="s">
        <v>506</v>
      </c>
      <c r="C396" s="698" t="s">
        <v>519</v>
      </c>
      <c r="D396" s="699" t="s">
        <v>520</v>
      </c>
      <c r="E396" s="700">
        <v>50113001</v>
      </c>
      <c r="F396" s="699" t="s">
        <v>524</v>
      </c>
      <c r="G396" s="698" t="s">
        <v>546</v>
      </c>
      <c r="H396" s="698">
        <v>987473</v>
      </c>
      <c r="I396" s="698">
        <v>146894</v>
      </c>
      <c r="J396" s="698" t="s">
        <v>1208</v>
      </c>
      <c r="K396" s="698" t="s">
        <v>1103</v>
      </c>
      <c r="L396" s="701">
        <v>21.986000000000001</v>
      </c>
      <c r="M396" s="701">
        <v>5</v>
      </c>
      <c r="N396" s="702">
        <v>109.93</v>
      </c>
    </row>
    <row r="397" spans="1:14" ht="14.4" customHeight="1" x14ac:dyDescent="0.3">
      <c r="A397" s="696" t="s">
        <v>505</v>
      </c>
      <c r="B397" s="697" t="s">
        <v>506</v>
      </c>
      <c r="C397" s="698" t="s">
        <v>519</v>
      </c>
      <c r="D397" s="699" t="s">
        <v>520</v>
      </c>
      <c r="E397" s="700">
        <v>50113001</v>
      </c>
      <c r="F397" s="699" t="s">
        <v>524</v>
      </c>
      <c r="G397" s="698" t="s">
        <v>546</v>
      </c>
      <c r="H397" s="698">
        <v>989453</v>
      </c>
      <c r="I397" s="698">
        <v>146899</v>
      </c>
      <c r="J397" s="698" t="s">
        <v>1208</v>
      </c>
      <c r="K397" s="698" t="s">
        <v>1209</v>
      </c>
      <c r="L397" s="701">
        <v>45.49</v>
      </c>
      <c r="M397" s="701">
        <v>3</v>
      </c>
      <c r="N397" s="702">
        <v>136.47</v>
      </c>
    </row>
    <row r="398" spans="1:14" ht="14.4" customHeight="1" x14ac:dyDescent="0.3">
      <c r="A398" s="696" t="s">
        <v>505</v>
      </c>
      <c r="B398" s="697" t="s">
        <v>506</v>
      </c>
      <c r="C398" s="698" t="s">
        <v>519</v>
      </c>
      <c r="D398" s="699" t="s">
        <v>520</v>
      </c>
      <c r="E398" s="700">
        <v>50113001</v>
      </c>
      <c r="F398" s="699" t="s">
        <v>524</v>
      </c>
      <c r="G398" s="698" t="s">
        <v>546</v>
      </c>
      <c r="H398" s="698">
        <v>849578</v>
      </c>
      <c r="I398" s="698">
        <v>149480</v>
      </c>
      <c r="J398" s="698" t="s">
        <v>1210</v>
      </c>
      <c r="K398" s="698" t="s">
        <v>1211</v>
      </c>
      <c r="L398" s="701">
        <v>69.55000000000004</v>
      </c>
      <c r="M398" s="701">
        <v>1</v>
      </c>
      <c r="N398" s="702">
        <v>69.55000000000004</v>
      </c>
    </row>
    <row r="399" spans="1:14" ht="14.4" customHeight="1" x14ac:dyDescent="0.3">
      <c r="A399" s="696" t="s">
        <v>505</v>
      </c>
      <c r="B399" s="697" t="s">
        <v>506</v>
      </c>
      <c r="C399" s="698" t="s">
        <v>519</v>
      </c>
      <c r="D399" s="699" t="s">
        <v>520</v>
      </c>
      <c r="E399" s="700">
        <v>50113001</v>
      </c>
      <c r="F399" s="699" t="s">
        <v>524</v>
      </c>
      <c r="G399" s="698" t="s">
        <v>507</v>
      </c>
      <c r="H399" s="698">
        <v>848770</v>
      </c>
      <c r="I399" s="698">
        <v>155685</v>
      </c>
      <c r="J399" s="698" t="s">
        <v>1212</v>
      </c>
      <c r="K399" s="698" t="s">
        <v>1209</v>
      </c>
      <c r="L399" s="701">
        <v>141.02500000000001</v>
      </c>
      <c r="M399" s="701">
        <v>2</v>
      </c>
      <c r="N399" s="702">
        <v>282.05</v>
      </c>
    </row>
    <row r="400" spans="1:14" ht="14.4" customHeight="1" x14ac:dyDescent="0.3">
      <c r="A400" s="696" t="s">
        <v>505</v>
      </c>
      <c r="B400" s="697" t="s">
        <v>506</v>
      </c>
      <c r="C400" s="698" t="s">
        <v>519</v>
      </c>
      <c r="D400" s="699" t="s">
        <v>520</v>
      </c>
      <c r="E400" s="700">
        <v>50113002</v>
      </c>
      <c r="F400" s="699" t="s">
        <v>1213</v>
      </c>
      <c r="G400" s="698" t="s">
        <v>525</v>
      </c>
      <c r="H400" s="698">
        <v>195947</v>
      </c>
      <c r="I400" s="698">
        <v>95947</v>
      </c>
      <c r="J400" s="698" t="s">
        <v>1214</v>
      </c>
      <c r="K400" s="698" t="s">
        <v>1215</v>
      </c>
      <c r="L400" s="701">
        <v>2081.2000000000003</v>
      </c>
      <c r="M400" s="701">
        <v>119</v>
      </c>
      <c r="N400" s="702">
        <v>247662.80000000002</v>
      </c>
    </row>
    <row r="401" spans="1:14" ht="14.4" customHeight="1" x14ac:dyDescent="0.3">
      <c r="A401" s="696" t="s">
        <v>505</v>
      </c>
      <c r="B401" s="697" t="s">
        <v>506</v>
      </c>
      <c r="C401" s="698" t="s">
        <v>519</v>
      </c>
      <c r="D401" s="699" t="s">
        <v>520</v>
      </c>
      <c r="E401" s="700">
        <v>50113002</v>
      </c>
      <c r="F401" s="699" t="s">
        <v>1213</v>
      </c>
      <c r="G401" s="698" t="s">
        <v>525</v>
      </c>
      <c r="H401" s="698">
        <v>396920</v>
      </c>
      <c r="I401" s="698">
        <v>100152</v>
      </c>
      <c r="J401" s="698" t="s">
        <v>1216</v>
      </c>
      <c r="K401" s="698" t="s">
        <v>1217</v>
      </c>
      <c r="L401" s="701">
        <v>2777.06</v>
      </c>
      <c r="M401" s="701">
        <v>4</v>
      </c>
      <c r="N401" s="702">
        <v>11108.24</v>
      </c>
    </row>
    <row r="402" spans="1:14" ht="14.4" customHeight="1" x14ac:dyDescent="0.3">
      <c r="A402" s="696" t="s">
        <v>505</v>
      </c>
      <c r="B402" s="697" t="s">
        <v>506</v>
      </c>
      <c r="C402" s="698" t="s">
        <v>519</v>
      </c>
      <c r="D402" s="699" t="s">
        <v>520</v>
      </c>
      <c r="E402" s="700">
        <v>50113002</v>
      </c>
      <c r="F402" s="699" t="s">
        <v>1213</v>
      </c>
      <c r="G402" s="698" t="s">
        <v>525</v>
      </c>
      <c r="H402" s="698">
        <v>149415</v>
      </c>
      <c r="I402" s="698">
        <v>49415</v>
      </c>
      <c r="J402" s="698" t="s">
        <v>1218</v>
      </c>
      <c r="K402" s="698" t="s">
        <v>1219</v>
      </c>
      <c r="L402" s="701">
        <v>1680.5800000000008</v>
      </c>
      <c r="M402" s="701">
        <v>22</v>
      </c>
      <c r="N402" s="702">
        <v>36972.760000000017</v>
      </c>
    </row>
    <row r="403" spans="1:14" ht="14.4" customHeight="1" x14ac:dyDescent="0.3">
      <c r="A403" s="696" t="s">
        <v>505</v>
      </c>
      <c r="B403" s="697" t="s">
        <v>506</v>
      </c>
      <c r="C403" s="698" t="s">
        <v>519</v>
      </c>
      <c r="D403" s="699" t="s">
        <v>520</v>
      </c>
      <c r="E403" s="700">
        <v>50113002</v>
      </c>
      <c r="F403" s="699" t="s">
        <v>1213</v>
      </c>
      <c r="G403" s="698" t="s">
        <v>525</v>
      </c>
      <c r="H403" s="698">
        <v>149409</v>
      </c>
      <c r="I403" s="698">
        <v>49409</v>
      </c>
      <c r="J403" s="698" t="s">
        <v>1220</v>
      </c>
      <c r="K403" s="698" t="s">
        <v>1219</v>
      </c>
      <c r="L403" s="701">
        <v>1329.46</v>
      </c>
      <c r="M403" s="701">
        <v>11</v>
      </c>
      <c r="N403" s="702">
        <v>14624.06</v>
      </c>
    </row>
    <row r="404" spans="1:14" ht="14.4" customHeight="1" x14ac:dyDescent="0.3">
      <c r="A404" s="696" t="s">
        <v>505</v>
      </c>
      <c r="B404" s="697" t="s">
        <v>506</v>
      </c>
      <c r="C404" s="698" t="s">
        <v>519</v>
      </c>
      <c r="D404" s="699" t="s">
        <v>520</v>
      </c>
      <c r="E404" s="700">
        <v>50113002</v>
      </c>
      <c r="F404" s="699" t="s">
        <v>1213</v>
      </c>
      <c r="G404" s="698" t="s">
        <v>525</v>
      </c>
      <c r="H404" s="698">
        <v>396914</v>
      </c>
      <c r="I404" s="698">
        <v>52301</v>
      </c>
      <c r="J404" s="698" t="s">
        <v>1221</v>
      </c>
      <c r="K404" s="698" t="s">
        <v>1217</v>
      </c>
      <c r="L404" s="701">
        <v>2221.3399999999992</v>
      </c>
      <c r="M404" s="701">
        <v>32.6</v>
      </c>
      <c r="N404" s="702">
        <v>72415.683999999979</v>
      </c>
    </row>
    <row r="405" spans="1:14" ht="14.4" customHeight="1" x14ac:dyDescent="0.3">
      <c r="A405" s="696" t="s">
        <v>505</v>
      </c>
      <c r="B405" s="697" t="s">
        <v>506</v>
      </c>
      <c r="C405" s="698" t="s">
        <v>519</v>
      </c>
      <c r="D405" s="699" t="s">
        <v>520</v>
      </c>
      <c r="E405" s="700">
        <v>50113002</v>
      </c>
      <c r="F405" s="699" t="s">
        <v>1213</v>
      </c>
      <c r="G405" s="698" t="s">
        <v>525</v>
      </c>
      <c r="H405" s="698">
        <v>501312</v>
      </c>
      <c r="I405" s="698">
        <v>88771</v>
      </c>
      <c r="J405" s="698" t="s">
        <v>1222</v>
      </c>
      <c r="K405" s="698" t="s">
        <v>1223</v>
      </c>
      <c r="L405" s="701">
        <v>3300</v>
      </c>
      <c r="M405" s="701">
        <v>17</v>
      </c>
      <c r="N405" s="702">
        <v>56100</v>
      </c>
    </row>
    <row r="406" spans="1:14" ht="14.4" customHeight="1" x14ac:dyDescent="0.3">
      <c r="A406" s="696" t="s">
        <v>505</v>
      </c>
      <c r="B406" s="697" t="s">
        <v>506</v>
      </c>
      <c r="C406" s="698" t="s">
        <v>519</v>
      </c>
      <c r="D406" s="699" t="s">
        <v>520</v>
      </c>
      <c r="E406" s="700">
        <v>50113002</v>
      </c>
      <c r="F406" s="699" t="s">
        <v>1213</v>
      </c>
      <c r="G406" s="698" t="s">
        <v>525</v>
      </c>
      <c r="H406" s="698">
        <v>165317</v>
      </c>
      <c r="I406" s="698">
        <v>65317</v>
      </c>
      <c r="J406" s="698" t="s">
        <v>1224</v>
      </c>
      <c r="K406" s="698" t="s">
        <v>1225</v>
      </c>
      <c r="L406" s="701">
        <v>2189</v>
      </c>
      <c r="M406" s="701">
        <v>5</v>
      </c>
      <c r="N406" s="702">
        <v>10945</v>
      </c>
    </row>
    <row r="407" spans="1:14" ht="14.4" customHeight="1" x14ac:dyDescent="0.3">
      <c r="A407" s="696" t="s">
        <v>505</v>
      </c>
      <c r="B407" s="697" t="s">
        <v>506</v>
      </c>
      <c r="C407" s="698" t="s">
        <v>519</v>
      </c>
      <c r="D407" s="699" t="s">
        <v>520</v>
      </c>
      <c r="E407" s="700">
        <v>50113002</v>
      </c>
      <c r="F407" s="699" t="s">
        <v>1213</v>
      </c>
      <c r="G407" s="698" t="s">
        <v>525</v>
      </c>
      <c r="H407" s="698">
        <v>116336</v>
      </c>
      <c r="I407" s="698">
        <v>16336</v>
      </c>
      <c r="J407" s="698" t="s">
        <v>1226</v>
      </c>
      <c r="K407" s="698" t="s">
        <v>1227</v>
      </c>
      <c r="L407" s="701">
        <v>1659.6399999999996</v>
      </c>
      <c r="M407" s="701">
        <v>26</v>
      </c>
      <c r="N407" s="702">
        <v>43150.639999999992</v>
      </c>
    </row>
    <row r="408" spans="1:14" ht="14.4" customHeight="1" x14ac:dyDescent="0.3">
      <c r="A408" s="696" t="s">
        <v>505</v>
      </c>
      <c r="B408" s="697" t="s">
        <v>506</v>
      </c>
      <c r="C408" s="698" t="s">
        <v>519</v>
      </c>
      <c r="D408" s="699" t="s">
        <v>520</v>
      </c>
      <c r="E408" s="700">
        <v>50113002</v>
      </c>
      <c r="F408" s="699" t="s">
        <v>1213</v>
      </c>
      <c r="G408" s="698" t="s">
        <v>525</v>
      </c>
      <c r="H408" s="698">
        <v>116337</v>
      </c>
      <c r="I408" s="698">
        <v>16337</v>
      </c>
      <c r="J408" s="698" t="s">
        <v>1226</v>
      </c>
      <c r="K408" s="698" t="s">
        <v>1228</v>
      </c>
      <c r="L408" s="701">
        <v>2062.5</v>
      </c>
      <c r="M408" s="701">
        <v>87</v>
      </c>
      <c r="N408" s="702">
        <v>179437.5</v>
      </c>
    </row>
    <row r="409" spans="1:14" ht="14.4" customHeight="1" x14ac:dyDescent="0.3">
      <c r="A409" s="696" t="s">
        <v>505</v>
      </c>
      <c r="B409" s="697" t="s">
        <v>506</v>
      </c>
      <c r="C409" s="698" t="s">
        <v>519</v>
      </c>
      <c r="D409" s="699" t="s">
        <v>520</v>
      </c>
      <c r="E409" s="700">
        <v>50113002</v>
      </c>
      <c r="F409" s="699" t="s">
        <v>1213</v>
      </c>
      <c r="G409" s="698" t="s">
        <v>525</v>
      </c>
      <c r="H409" s="698">
        <v>116338</v>
      </c>
      <c r="I409" s="698">
        <v>16338</v>
      </c>
      <c r="J409" s="698" t="s">
        <v>1226</v>
      </c>
      <c r="K409" s="698" t="s">
        <v>1229</v>
      </c>
      <c r="L409" s="701">
        <v>3171.3000000000006</v>
      </c>
      <c r="M409" s="701">
        <v>47</v>
      </c>
      <c r="N409" s="702">
        <v>149051.10000000003</v>
      </c>
    </row>
    <row r="410" spans="1:14" ht="14.4" customHeight="1" x14ac:dyDescent="0.3">
      <c r="A410" s="696" t="s">
        <v>505</v>
      </c>
      <c r="B410" s="697" t="s">
        <v>506</v>
      </c>
      <c r="C410" s="698" t="s">
        <v>519</v>
      </c>
      <c r="D410" s="699" t="s">
        <v>520</v>
      </c>
      <c r="E410" s="700">
        <v>50113002</v>
      </c>
      <c r="F410" s="699" t="s">
        <v>1213</v>
      </c>
      <c r="G410" s="698" t="s">
        <v>525</v>
      </c>
      <c r="H410" s="698">
        <v>142003</v>
      </c>
      <c r="I410" s="698">
        <v>142003</v>
      </c>
      <c r="J410" s="698" t="s">
        <v>1230</v>
      </c>
      <c r="K410" s="698" t="s">
        <v>1219</v>
      </c>
      <c r="L410" s="701">
        <v>3410</v>
      </c>
      <c r="M410" s="701">
        <v>22</v>
      </c>
      <c r="N410" s="702">
        <v>75020</v>
      </c>
    </row>
    <row r="411" spans="1:14" ht="14.4" customHeight="1" x14ac:dyDescent="0.3">
      <c r="A411" s="696" t="s">
        <v>505</v>
      </c>
      <c r="B411" s="697" t="s">
        <v>506</v>
      </c>
      <c r="C411" s="698" t="s">
        <v>519</v>
      </c>
      <c r="D411" s="699" t="s">
        <v>520</v>
      </c>
      <c r="E411" s="700">
        <v>50113002</v>
      </c>
      <c r="F411" s="699" t="s">
        <v>1213</v>
      </c>
      <c r="G411" s="698" t="s">
        <v>525</v>
      </c>
      <c r="H411" s="698">
        <v>158628</v>
      </c>
      <c r="I411" s="698">
        <v>58628</v>
      </c>
      <c r="J411" s="698" t="s">
        <v>1231</v>
      </c>
      <c r="K411" s="698" t="s">
        <v>1232</v>
      </c>
      <c r="L411" s="701">
        <v>297</v>
      </c>
      <c r="M411" s="701">
        <v>100</v>
      </c>
      <c r="N411" s="702">
        <v>29700</v>
      </c>
    </row>
    <row r="412" spans="1:14" ht="14.4" customHeight="1" x14ac:dyDescent="0.3">
      <c r="A412" s="696" t="s">
        <v>505</v>
      </c>
      <c r="B412" s="697" t="s">
        <v>506</v>
      </c>
      <c r="C412" s="698" t="s">
        <v>519</v>
      </c>
      <c r="D412" s="699" t="s">
        <v>520</v>
      </c>
      <c r="E412" s="700">
        <v>50113002</v>
      </c>
      <c r="F412" s="699" t="s">
        <v>1213</v>
      </c>
      <c r="G412" s="698" t="s">
        <v>525</v>
      </c>
      <c r="H412" s="698">
        <v>397303</v>
      </c>
      <c r="I412" s="698">
        <v>152193</v>
      </c>
      <c r="J412" s="698" t="s">
        <v>1233</v>
      </c>
      <c r="K412" s="698" t="s">
        <v>1234</v>
      </c>
      <c r="L412" s="701">
        <v>2493.6999999999994</v>
      </c>
      <c r="M412" s="701">
        <v>1</v>
      </c>
      <c r="N412" s="702">
        <v>2493.6999999999994</v>
      </c>
    </row>
    <row r="413" spans="1:14" ht="14.4" customHeight="1" x14ac:dyDescent="0.3">
      <c r="A413" s="696" t="s">
        <v>505</v>
      </c>
      <c r="B413" s="697" t="s">
        <v>506</v>
      </c>
      <c r="C413" s="698" t="s">
        <v>519</v>
      </c>
      <c r="D413" s="699" t="s">
        <v>520</v>
      </c>
      <c r="E413" s="700">
        <v>50113002</v>
      </c>
      <c r="F413" s="699" t="s">
        <v>1213</v>
      </c>
      <c r="G413" s="698" t="s">
        <v>525</v>
      </c>
      <c r="H413" s="698">
        <v>103414</v>
      </c>
      <c r="I413" s="698">
        <v>3414</v>
      </c>
      <c r="J413" s="698" t="s">
        <v>1235</v>
      </c>
      <c r="K413" s="698" t="s">
        <v>1236</v>
      </c>
      <c r="L413" s="701">
        <v>2443.1899999999996</v>
      </c>
      <c r="M413" s="701">
        <v>299.80000000000007</v>
      </c>
      <c r="N413" s="702">
        <v>732468.36200000008</v>
      </c>
    </row>
    <row r="414" spans="1:14" ht="14.4" customHeight="1" x14ac:dyDescent="0.3">
      <c r="A414" s="696" t="s">
        <v>505</v>
      </c>
      <c r="B414" s="697" t="s">
        <v>506</v>
      </c>
      <c r="C414" s="698" t="s">
        <v>519</v>
      </c>
      <c r="D414" s="699" t="s">
        <v>520</v>
      </c>
      <c r="E414" s="700">
        <v>50113002</v>
      </c>
      <c r="F414" s="699" t="s">
        <v>1213</v>
      </c>
      <c r="G414" s="698" t="s">
        <v>525</v>
      </c>
      <c r="H414" s="698">
        <v>111453</v>
      </c>
      <c r="I414" s="698">
        <v>11453</v>
      </c>
      <c r="J414" s="698" t="s">
        <v>1237</v>
      </c>
      <c r="K414" s="698" t="s">
        <v>1238</v>
      </c>
      <c r="L414" s="701">
        <v>2719.1999965342766</v>
      </c>
      <c r="M414" s="701">
        <v>13</v>
      </c>
      <c r="N414" s="702">
        <v>35349.599954945596</v>
      </c>
    </row>
    <row r="415" spans="1:14" ht="14.4" customHeight="1" x14ac:dyDescent="0.3">
      <c r="A415" s="696" t="s">
        <v>505</v>
      </c>
      <c r="B415" s="697" t="s">
        <v>506</v>
      </c>
      <c r="C415" s="698" t="s">
        <v>519</v>
      </c>
      <c r="D415" s="699" t="s">
        <v>520</v>
      </c>
      <c r="E415" s="700">
        <v>50113002</v>
      </c>
      <c r="F415" s="699" t="s">
        <v>1213</v>
      </c>
      <c r="G415" s="698" t="s">
        <v>525</v>
      </c>
      <c r="H415" s="698">
        <v>394774</v>
      </c>
      <c r="I415" s="698">
        <v>157118</v>
      </c>
      <c r="J415" s="698" t="s">
        <v>1239</v>
      </c>
      <c r="K415" s="698" t="s">
        <v>1238</v>
      </c>
      <c r="L415" s="701">
        <v>3717.3399999999997</v>
      </c>
      <c r="M415" s="701">
        <v>41.25</v>
      </c>
      <c r="N415" s="702">
        <v>153340.27499999999</v>
      </c>
    </row>
    <row r="416" spans="1:14" ht="14.4" customHeight="1" x14ac:dyDescent="0.3">
      <c r="A416" s="696" t="s">
        <v>505</v>
      </c>
      <c r="B416" s="697" t="s">
        <v>506</v>
      </c>
      <c r="C416" s="698" t="s">
        <v>519</v>
      </c>
      <c r="D416" s="699" t="s">
        <v>520</v>
      </c>
      <c r="E416" s="700">
        <v>50113002</v>
      </c>
      <c r="F416" s="699" t="s">
        <v>1213</v>
      </c>
      <c r="G416" s="698" t="s">
        <v>525</v>
      </c>
      <c r="H416" s="698">
        <v>500716</v>
      </c>
      <c r="I416" s="698">
        <v>157112</v>
      </c>
      <c r="J416" s="698" t="s">
        <v>1240</v>
      </c>
      <c r="K416" s="698" t="s">
        <v>1238</v>
      </c>
      <c r="L416" s="701">
        <v>3827.9999995591488</v>
      </c>
      <c r="M416" s="701">
        <v>82</v>
      </c>
      <c r="N416" s="702">
        <v>313895.99996385019</v>
      </c>
    </row>
    <row r="417" spans="1:14" ht="14.4" customHeight="1" x14ac:dyDescent="0.3">
      <c r="A417" s="696" t="s">
        <v>505</v>
      </c>
      <c r="B417" s="697" t="s">
        <v>506</v>
      </c>
      <c r="C417" s="698" t="s">
        <v>519</v>
      </c>
      <c r="D417" s="699" t="s">
        <v>520</v>
      </c>
      <c r="E417" s="700">
        <v>50113002</v>
      </c>
      <c r="F417" s="699" t="s">
        <v>1213</v>
      </c>
      <c r="G417" s="698" t="s">
        <v>525</v>
      </c>
      <c r="H417" s="698">
        <v>139927</v>
      </c>
      <c r="I417" s="698">
        <v>139927</v>
      </c>
      <c r="J417" s="698" t="s">
        <v>1241</v>
      </c>
      <c r="K417" s="698" t="s">
        <v>1242</v>
      </c>
      <c r="L417" s="701">
        <v>5213.9799999999996</v>
      </c>
      <c r="M417" s="701">
        <v>2</v>
      </c>
      <c r="N417" s="702">
        <v>10427.959999999999</v>
      </c>
    </row>
    <row r="418" spans="1:14" ht="14.4" customHeight="1" x14ac:dyDescent="0.3">
      <c r="A418" s="696" t="s">
        <v>505</v>
      </c>
      <c r="B418" s="697" t="s">
        <v>506</v>
      </c>
      <c r="C418" s="698" t="s">
        <v>519</v>
      </c>
      <c r="D418" s="699" t="s">
        <v>520</v>
      </c>
      <c r="E418" s="700">
        <v>50113002</v>
      </c>
      <c r="F418" s="699" t="s">
        <v>1213</v>
      </c>
      <c r="G418" s="698" t="s">
        <v>525</v>
      </c>
      <c r="H418" s="698">
        <v>118735</v>
      </c>
      <c r="I418" s="698">
        <v>18735</v>
      </c>
      <c r="J418" s="698" t="s">
        <v>1243</v>
      </c>
      <c r="K418" s="698" t="s">
        <v>1244</v>
      </c>
      <c r="L418" s="701">
        <v>3787.170000000001</v>
      </c>
      <c r="M418" s="701">
        <v>1</v>
      </c>
      <c r="N418" s="702">
        <v>3787.170000000001</v>
      </c>
    </row>
    <row r="419" spans="1:14" ht="14.4" customHeight="1" x14ac:dyDescent="0.3">
      <c r="A419" s="696" t="s">
        <v>505</v>
      </c>
      <c r="B419" s="697" t="s">
        <v>506</v>
      </c>
      <c r="C419" s="698" t="s">
        <v>519</v>
      </c>
      <c r="D419" s="699" t="s">
        <v>520</v>
      </c>
      <c r="E419" s="700">
        <v>50113006</v>
      </c>
      <c r="F419" s="699" t="s">
        <v>1245</v>
      </c>
      <c r="G419" s="698" t="s">
        <v>525</v>
      </c>
      <c r="H419" s="698">
        <v>991356</v>
      </c>
      <c r="I419" s="698">
        <v>0</v>
      </c>
      <c r="J419" s="698" t="s">
        <v>1246</v>
      </c>
      <c r="K419" s="698" t="s">
        <v>507</v>
      </c>
      <c r="L419" s="701">
        <v>732.81</v>
      </c>
      <c r="M419" s="701">
        <v>1</v>
      </c>
      <c r="N419" s="702">
        <v>732.81</v>
      </c>
    </row>
    <row r="420" spans="1:14" ht="14.4" customHeight="1" x14ac:dyDescent="0.3">
      <c r="A420" s="696" t="s">
        <v>505</v>
      </c>
      <c r="B420" s="697" t="s">
        <v>506</v>
      </c>
      <c r="C420" s="698" t="s">
        <v>519</v>
      </c>
      <c r="D420" s="699" t="s">
        <v>520</v>
      </c>
      <c r="E420" s="700">
        <v>50113006</v>
      </c>
      <c r="F420" s="699" t="s">
        <v>1245</v>
      </c>
      <c r="G420" s="698" t="s">
        <v>546</v>
      </c>
      <c r="H420" s="698">
        <v>217109</v>
      </c>
      <c r="I420" s="698">
        <v>217109</v>
      </c>
      <c r="J420" s="698" t="s">
        <v>1247</v>
      </c>
      <c r="K420" s="698" t="s">
        <v>1248</v>
      </c>
      <c r="L420" s="701">
        <v>164.72999999999996</v>
      </c>
      <c r="M420" s="701">
        <v>5</v>
      </c>
      <c r="N420" s="702">
        <v>823.64999999999986</v>
      </c>
    </row>
    <row r="421" spans="1:14" ht="14.4" customHeight="1" x14ac:dyDescent="0.3">
      <c r="A421" s="696" t="s">
        <v>505</v>
      </c>
      <c r="B421" s="697" t="s">
        <v>506</v>
      </c>
      <c r="C421" s="698" t="s">
        <v>519</v>
      </c>
      <c r="D421" s="699" t="s">
        <v>520</v>
      </c>
      <c r="E421" s="700">
        <v>50113006</v>
      </c>
      <c r="F421" s="699" t="s">
        <v>1245</v>
      </c>
      <c r="G421" s="698" t="s">
        <v>546</v>
      </c>
      <c r="H421" s="698">
        <v>217110</v>
      </c>
      <c r="I421" s="698">
        <v>217110</v>
      </c>
      <c r="J421" s="698" t="s">
        <v>1249</v>
      </c>
      <c r="K421" s="698" t="s">
        <v>1248</v>
      </c>
      <c r="L421" s="701">
        <v>164.73</v>
      </c>
      <c r="M421" s="701">
        <v>11</v>
      </c>
      <c r="N421" s="702">
        <v>1812.03</v>
      </c>
    </row>
    <row r="422" spans="1:14" ht="14.4" customHeight="1" x14ac:dyDescent="0.3">
      <c r="A422" s="696" t="s">
        <v>505</v>
      </c>
      <c r="B422" s="697" t="s">
        <v>506</v>
      </c>
      <c r="C422" s="698" t="s">
        <v>519</v>
      </c>
      <c r="D422" s="699" t="s">
        <v>520</v>
      </c>
      <c r="E422" s="700">
        <v>50113006</v>
      </c>
      <c r="F422" s="699" t="s">
        <v>1245</v>
      </c>
      <c r="G422" s="698" t="s">
        <v>546</v>
      </c>
      <c r="H422" s="698">
        <v>33833</v>
      </c>
      <c r="I422" s="698">
        <v>33833</v>
      </c>
      <c r="J422" s="698" t="s">
        <v>1250</v>
      </c>
      <c r="K422" s="698" t="s">
        <v>1248</v>
      </c>
      <c r="L422" s="701">
        <v>163.66999999999999</v>
      </c>
      <c r="M422" s="701">
        <v>1</v>
      </c>
      <c r="N422" s="702">
        <v>163.66999999999999</v>
      </c>
    </row>
    <row r="423" spans="1:14" ht="14.4" customHeight="1" x14ac:dyDescent="0.3">
      <c r="A423" s="696" t="s">
        <v>505</v>
      </c>
      <c r="B423" s="697" t="s">
        <v>506</v>
      </c>
      <c r="C423" s="698" t="s">
        <v>519</v>
      </c>
      <c r="D423" s="699" t="s">
        <v>520</v>
      </c>
      <c r="E423" s="700">
        <v>50113006</v>
      </c>
      <c r="F423" s="699" t="s">
        <v>1245</v>
      </c>
      <c r="G423" s="698" t="s">
        <v>546</v>
      </c>
      <c r="H423" s="698">
        <v>133339</v>
      </c>
      <c r="I423" s="698">
        <v>33339</v>
      </c>
      <c r="J423" s="698" t="s">
        <v>1251</v>
      </c>
      <c r="K423" s="698" t="s">
        <v>1252</v>
      </c>
      <c r="L423" s="701">
        <v>41.420594059405943</v>
      </c>
      <c r="M423" s="701">
        <v>101</v>
      </c>
      <c r="N423" s="702">
        <v>4183.4800000000005</v>
      </c>
    </row>
    <row r="424" spans="1:14" ht="14.4" customHeight="1" x14ac:dyDescent="0.3">
      <c r="A424" s="696" t="s">
        <v>505</v>
      </c>
      <c r="B424" s="697" t="s">
        <v>506</v>
      </c>
      <c r="C424" s="698" t="s">
        <v>519</v>
      </c>
      <c r="D424" s="699" t="s">
        <v>520</v>
      </c>
      <c r="E424" s="700">
        <v>50113006</v>
      </c>
      <c r="F424" s="699" t="s">
        <v>1245</v>
      </c>
      <c r="G424" s="698" t="s">
        <v>546</v>
      </c>
      <c r="H424" s="698">
        <v>133340</v>
      </c>
      <c r="I424" s="698">
        <v>33340</v>
      </c>
      <c r="J424" s="698" t="s">
        <v>1253</v>
      </c>
      <c r="K424" s="698" t="s">
        <v>1252</v>
      </c>
      <c r="L424" s="701">
        <v>40.94400000000001</v>
      </c>
      <c r="M424" s="701">
        <v>90</v>
      </c>
      <c r="N424" s="702">
        <v>3684.9600000000009</v>
      </c>
    </row>
    <row r="425" spans="1:14" ht="14.4" customHeight="1" x14ac:dyDescent="0.3">
      <c r="A425" s="696" t="s">
        <v>505</v>
      </c>
      <c r="B425" s="697" t="s">
        <v>506</v>
      </c>
      <c r="C425" s="698" t="s">
        <v>519</v>
      </c>
      <c r="D425" s="699" t="s">
        <v>520</v>
      </c>
      <c r="E425" s="700">
        <v>50113006</v>
      </c>
      <c r="F425" s="699" t="s">
        <v>1245</v>
      </c>
      <c r="G425" s="698" t="s">
        <v>525</v>
      </c>
      <c r="H425" s="698">
        <v>217076</v>
      </c>
      <c r="I425" s="698">
        <v>217076</v>
      </c>
      <c r="J425" s="698" t="s">
        <v>1254</v>
      </c>
      <c r="K425" s="698" t="s">
        <v>738</v>
      </c>
      <c r="L425" s="701">
        <v>161.74588235294118</v>
      </c>
      <c r="M425" s="701">
        <v>17</v>
      </c>
      <c r="N425" s="702">
        <v>2749.68</v>
      </c>
    </row>
    <row r="426" spans="1:14" ht="14.4" customHeight="1" x14ac:dyDescent="0.3">
      <c r="A426" s="696" t="s">
        <v>505</v>
      </c>
      <c r="B426" s="697" t="s">
        <v>506</v>
      </c>
      <c r="C426" s="698" t="s">
        <v>519</v>
      </c>
      <c r="D426" s="699" t="s">
        <v>520</v>
      </c>
      <c r="E426" s="700">
        <v>50113006</v>
      </c>
      <c r="F426" s="699" t="s">
        <v>1245</v>
      </c>
      <c r="G426" s="698" t="s">
        <v>525</v>
      </c>
      <c r="H426" s="698">
        <v>217077</v>
      </c>
      <c r="I426" s="698">
        <v>217077</v>
      </c>
      <c r="J426" s="698" t="s">
        <v>1255</v>
      </c>
      <c r="K426" s="698" t="s">
        <v>738</v>
      </c>
      <c r="L426" s="701">
        <v>161.74408163265304</v>
      </c>
      <c r="M426" s="701">
        <v>49</v>
      </c>
      <c r="N426" s="702">
        <v>7925.4599999999991</v>
      </c>
    </row>
    <row r="427" spans="1:14" ht="14.4" customHeight="1" x14ac:dyDescent="0.3">
      <c r="A427" s="696" t="s">
        <v>505</v>
      </c>
      <c r="B427" s="697" t="s">
        <v>506</v>
      </c>
      <c r="C427" s="698" t="s">
        <v>519</v>
      </c>
      <c r="D427" s="699" t="s">
        <v>520</v>
      </c>
      <c r="E427" s="700">
        <v>50113006</v>
      </c>
      <c r="F427" s="699" t="s">
        <v>1245</v>
      </c>
      <c r="G427" s="698" t="s">
        <v>525</v>
      </c>
      <c r="H427" s="698">
        <v>397803</v>
      </c>
      <c r="I427" s="698">
        <v>217084</v>
      </c>
      <c r="J427" s="698" t="s">
        <v>1256</v>
      </c>
      <c r="K427" s="698" t="s">
        <v>1257</v>
      </c>
      <c r="L427" s="701">
        <v>1776.75</v>
      </c>
      <c r="M427" s="701">
        <v>3</v>
      </c>
      <c r="N427" s="702">
        <v>5330.25</v>
      </c>
    </row>
    <row r="428" spans="1:14" ht="14.4" customHeight="1" x14ac:dyDescent="0.3">
      <c r="A428" s="696" t="s">
        <v>505</v>
      </c>
      <c r="B428" s="697" t="s">
        <v>506</v>
      </c>
      <c r="C428" s="698" t="s">
        <v>519</v>
      </c>
      <c r="D428" s="699" t="s">
        <v>520</v>
      </c>
      <c r="E428" s="700">
        <v>50113006</v>
      </c>
      <c r="F428" s="699" t="s">
        <v>1245</v>
      </c>
      <c r="G428" s="698" t="s">
        <v>525</v>
      </c>
      <c r="H428" s="698">
        <v>841569</v>
      </c>
      <c r="I428" s="698">
        <v>0</v>
      </c>
      <c r="J428" s="698" t="s">
        <v>1258</v>
      </c>
      <c r="K428" s="698" t="s">
        <v>507</v>
      </c>
      <c r="L428" s="701">
        <v>1161.0999999999999</v>
      </c>
      <c r="M428" s="701">
        <v>1</v>
      </c>
      <c r="N428" s="702">
        <v>1161.0999999999999</v>
      </c>
    </row>
    <row r="429" spans="1:14" ht="14.4" customHeight="1" x14ac:dyDescent="0.3">
      <c r="A429" s="696" t="s">
        <v>505</v>
      </c>
      <c r="B429" s="697" t="s">
        <v>506</v>
      </c>
      <c r="C429" s="698" t="s">
        <v>519</v>
      </c>
      <c r="D429" s="699" t="s">
        <v>520</v>
      </c>
      <c r="E429" s="700">
        <v>50113006</v>
      </c>
      <c r="F429" s="699" t="s">
        <v>1245</v>
      </c>
      <c r="G429" s="698" t="s">
        <v>525</v>
      </c>
      <c r="H429" s="698">
        <v>990223</v>
      </c>
      <c r="I429" s="698">
        <v>0</v>
      </c>
      <c r="J429" s="698" t="s">
        <v>1259</v>
      </c>
      <c r="K429" s="698" t="s">
        <v>507</v>
      </c>
      <c r="L429" s="701">
        <v>177.35000000000002</v>
      </c>
      <c r="M429" s="701">
        <v>26</v>
      </c>
      <c r="N429" s="702">
        <v>4611.1000000000004</v>
      </c>
    </row>
    <row r="430" spans="1:14" ht="14.4" customHeight="1" x14ac:dyDescent="0.3">
      <c r="A430" s="696" t="s">
        <v>505</v>
      </c>
      <c r="B430" s="697" t="s">
        <v>506</v>
      </c>
      <c r="C430" s="698" t="s">
        <v>519</v>
      </c>
      <c r="D430" s="699" t="s">
        <v>520</v>
      </c>
      <c r="E430" s="700">
        <v>50113006</v>
      </c>
      <c r="F430" s="699" t="s">
        <v>1245</v>
      </c>
      <c r="G430" s="698" t="s">
        <v>546</v>
      </c>
      <c r="H430" s="698">
        <v>846766</v>
      </c>
      <c r="I430" s="698">
        <v>33420</v>
      </c>
      <c r="J430" s="698" t="s">
        <v>1260</v>
      </c>
      <c r="K430" s="698" t="s">
        <v>1261</v>
      </c>
      <c r="L430" s="701">
        <v>135.6</v>
      </c>
      <c r="M430" s="701">
        <v>2</v>
      </c>
      <c r="N430" s="702">
        <v>271.2</v>
      </c>
    </row>
    <row r="431" spans="1:14" ht="14.4" customHeight="1" x14ac:dyDescent="0.3">
      <c r="A431" s="696" t="s">
        <v>505</v>
      </c>
      <c r="B431" s="697" t="s">
        <v>506</v>
      </c>
      <c r="C431" s="698" t="s">
        <v>519</v>
      </c>
      <c r="D431" s="699" t="s">
        <v>520</v>
      </c>
      <c r="E431" s="700">
        <v>50113006</v>
      </c>
      <c r="F431" s="699" t="s">
        <v>1245</v>
      </c>
      <c r="G431" s="698" t="s">
        <v>546</v>
      </c>
      <c r="H431" s="698">
        <v>987792</v>
      </c>
      <c r="I431" s="698">
        <v>33749</v>
      </c>
      <c r="J431" s="698" t="s">
        <v>1262</v>
      </c>
      <c r="K431" s="698" t="s">
        <v>1263</v>
      </c>
      <c r="L431" s="701">
        <v>111.99750000000002</v>
      </c>
      <c r="M431" s="701">
        <v>16</v>
      </c>
      <c r="N431" s="702">
        <v>1791.9600000000003</v>
      </c>
    </row>
    <row r="432" spans="1:14" ht="14.4" customHeight="1" x14ac:dyDescent="0.3">
      <c r="A432" s="696" t="s">
        <v>505</v>
      </c>
      <c r="B432" s="697" t="s">
        <v>506</v>
      </c>
      <c r="C432" s="698" t="s">
        <v>519</v>
      </c>
      <c r="D432" s="699" t="s">
        <v>520</v>
      </c>
      <c r="E432" s="700">
        <v>50113006</v>
      </c>
      <c r="F432" s="699" t="s">
        <v>1245</v>
      </c>
      <c r="G432" s="698" t="s">
        <v>546</v>
      </c>
      <c r="H432" s="698">
        <v>33751</v>
      </c>
      <c r="I432" s="698">
        <v>33751</v>
      </c>
      <c r="J432" s="698" t="s">
        <v>1264</v>
      </c>
      <c r="K432" s="698" t="s">
        <v>1263</v>
      </c>
      <c r="L432" s="701">
        <v>111.95000000000002</v>
      </c>
      <c r="M432" s="701">
        <v>14</v>
      </c>
      <c r="N432" s="702">
        <v>1567.3000000000002</v>
      </c>
    </row>
    <row r="433" spans="1:14" ht="14.4" customHeight="1" x14ac:dyDescent="0.3">
      <c r="A433" s="696" t="s">
        <v>505</v>
      </c>
      <c r="B433" s="697" t="s">
        <v>506</v>
      </c>
      <c r="C433" s="698" t="s">
        <v>519</v>
      </c>
      <c r="D433" s="699" t="s">
        <v>520</v>
      </c>
      <c r="E433" s="700">
        <v>50113006</v>
      </c>
      <c r="F433" s="699" t="s">
        <v>1245</v>
      </c>
      <c r="G433" s="698" t="s">
        <v>546</v>
      </c>
      <c r="H433" s="698">
        <v>395579</v>
      </c>
      <c r="I433" s="698">
        <v>33752</v>
      </c>
      <c r="J433" s="698" t="s">
        <v>1265</v>
      </c>
      <c r="K433" s="698" t="s">
        <v>1266</v>
      </c>
      <c r="L433" s="701">
        <v>112.05928571428574</v>
      </c>
      <c r="M433" s="701">
        <v>14</v>
      </c>
      <c r="N433" s="702">
        <v>1568.8300000000004</v>
      </c>
    </row>
    <row r="434" spans="1:14" ht="14.4" customHeight="1" x14ac:dyDescent="0.3">
      <c r="A434" s="696" t="s">
        <v>505</v>
      </c>
      <c r="B434" s="697" t="s">
        <v>506</v>
      </c>
      <c r="C434" s="698" t="s">
        <v>519</v>
      </c>
      <c r="D434" s="699" t="s">
        <v>520</v>
      </c>
      <c r="E434" s="700">
        <v>50113006</v>
      </c>
      <c r="F434" s="699" t="s">
        <v>1245</v>
      </c>
      <c r="G434" s="698" t="s">
        <v>546</v>
      </c>
      <c r="H434" s="698">
        <v>33750</v>
      </c>
      <c r="I434" s="698">
        <v>33750</v>
      </c>
      <c r="J434" s="698" t="s">
        <v>1267</v>
      </c>
      <c r="K434" s="698" t="s">
        <v>1263</v>
      </c>
      <c r="L434" s="701">
        <v>111.94999999999999</v>
      </c>
      <c r="M434" s="701">
        <v>24</v>
      </c>
      <c r="N434" s="702">
        <v>2686.7999999999997</v>
      </c>
    </row>
    <row r="435" spans="1:14" ht="14.4" customHeight="1" x14ac:dyDescent="0.3">
      <c r="A435" s="696" t="s">
        <v>505</v>
      </c>
      <c r="B435" s="697" t="s">
        <v>506</v>
      </c>
      <c r="C435" s="698" t="s">
        <v>519</v>
      </c>
      <c r="D435" s="699" t="s">
        <v>520</v>
      </c>
      <c r="E435" s="700">
        <v>50113006</v>
      </c>
      <c r="F435" s="699" t="s">
        <v>1245</v>
      </c>
      <c r="G435" s="698" t="s">
        <v>546</v>
      </c>
      <c r="H435" s="698">
        <v>33859</v>
      </c>
      <c r="I435" s="698">
        <v>33859</v>
      </c>
      <c r="J435" s="698" t="s">
        <v>1268</v>
      </c>
      <c r="K435" s="698" t="s">
        <v>1248</v>
      </c>
      <c r="L435" s="701">
        <v>129.97</v>
      </c>
      <c r="M435" s="701">
        <v>44</v>
      </c>
      <c r="N435" s="702">
        <v>5718.68</v>
      </c>
    </row>
    <row r="436" spans="1:14" ht="14.4" customHeight="1" x14ac:dyDescent="0.3">
      <c r="A436" s="696" t="s">
        <v>505</v>
      </c>
      <c r="B436" s="697" t="s">
        <v>506</v>
      </c>
      <c r="C436" s="698" t="s">
        <v>519</v>
      </c>
      <c r="D436" s="699" t="s">
        <v>520</v>
      </c>
      <c r="E436" s="700">
        <v>50113006</v>
      </c>
      <c r="F436" s="699" t="s">
        <v>1245</v>
      </c>
      <c r="G436" s="698" t="s">
        <v>546</v>
      </c>
      <c r="H436" s="698">
        <v>33858</v>
      </c>
      <c r="I436" s="698">
        <v>33858</v>
      </c>
      <c r="J436" s="698" t="s">
        <v>1269</v>
      </c>
      <c r="K436" s="698" t="s">
        <v>1248</v>
      </c>
      <c r="L436" s="701">
        <v>129.97</v>
      </c>
      <c r="M436" s="701">
        <v>15</v>
      </c>
      <c r="N436" s="702">
        <v>1949.5500000000002</v>
      </c>
    </row>
    <row r="437" spans="1:14" ht="14.4" customHeight="1" x14ac:dyDescent="0.3">
      <c r="A437" s="696" t="s">
        <v>505</v>
      </c>
      <c r="B437" s="697" t="s">
        <v>506</v>
      </c>
      <c r="C437" s="698" t="s">
        <v>519</v>
      </c>
      <c r="D437" s="699" t="s">
        <v>520</v>
      </c>
      <c r="E437" s="700">
        <v>50113006</v>
      </c>
      <c r="F437" s="699" t="s">
        <v>1245</v>
      </c>
      <c r="G437" s="698" t="s">
        <v>546</v>
      </c>
      <c r="H437" s="698">
        <v>33936</v>
      </c>
      <c r="I437" s="698">
        <v>33936</v>
      </c>
      <c r="J437" s="698" t="s">
        <v>1270</v>
      </c>
      <c r="K437" s="698" t="s">
        <v>1252</v>
      </c>
      <c r="L437" s="701">
        <v>30.67</v>
      </c>
      <c r="M437" s="701">
        <v>32</v>
      </c>
      <c r="N437" s="702">
        <v>981.44</v>
      </c>
    </row>
    <row r="438" spans="1:14" ht="14.4" customHeight="1" x14ac:dyDescent="0.3">
      <c r="A438" s="696" t="s">
        <v>505</v>
      </c>
      <c r="B438" s="697" t="s">
        <v>506</v>
      </c>
      <c r="C438" s="698" t="s">
        <v>519</v>
      </c>
      <c r="D438" s="699" t="s">
        <v>520</v>
      </c>
      <c r="E438" s="700">
        <v>50113006</v>
      </c>
      <c r="F438" s="699" t="s">
        <v>1245</v>
      </c>
      <c r="G438" s="698" t="s">
        <v>546</v>
      </c>
      <c r="H438" s="698">
        <v>33848</v>
      </c>
      <c r="I438" s="698">
        <v>33848</v>
      </c>
      <c r="J438" s="698" t="s">
        <v>1271</v>
      </c>
      <c r="K438" s="698" t="s">
        <v>1248</v>
      </c>
      <c r="L438" s="701">
        <v>122.81181818181818</v>
      </c>
      <c r="M438" s="701">
        <v>22</v>
      </c>
      <c r="N438" s="702">
        <v>2701.86</v>
      </c>
    </row>
    <row r="439" spans="1:14" ht="14.4" customHeight="1" x14ac:dyDescent="0.3">
      <c r="A439" s="696" t="s">
        <v>505</v>
      </c>
      <c r="B439" s="697" t="s">
        <v>506</v>
      </c>
      <c r="C439" s="698" t="s">
        <v>519</v>
      </c>
      <c r="D439" s="699" t="s">
        <v>520</v>
      </c>
      <c r="E439" s="700">
        <v>50113006</v>
      </c>
      <c r="F439" s="699" t="s">
        <v>1245</v>
      </c>
      <c r="G439" s="698" t="s">
        <v>546</v>
      </c>
      <c r="H439" s="698">
        <v>990352</v>
      </c>
      <c r="I439" s="698">
        <v>33935</v>
      </c>
      <c r="J439" s="698" t="s">
        <v>1272</v>
      </c>
      <c r="K439" s="698" t="s">
        <v>1252</v>
      </c>
      <c r="L439" s="701">
        <v>30.669999999999998</v>
      </c>
      <c r="M439" s="701">
        <v>9</v>
      </c>
      <c r="N439" s="702">
        <v>276.02999999999997</v>
      </c>
    </row>
    <row r="440" spans="1:14" ht="14.4" customHeight="1" x14ac:dyDescent="0.3">
      <c r="A440" s="696" t="s">
        <v>505</v>
      </c>
      <c r="B440" s="697" t="s">
        <v>506</v>
      </c>
      <c r="C440" s="698" t="s">
        <v>519</v>
      </c>
      <c r="D440" s="699" t="s">
        <v>520</v>
      </c>
      <c r="E440" s="700">
        <v>50113006</v>
      </c>
      <c r="F440" s="699" t="s">
        <v>1245</v>
      </c>
      <c r="G440" s="698" t="s">
        <v>546</v>
      </c>
      <c r="H440" s="698">
        <v>33847</v>
      </c>
      <c r="I440" s="698">
        <v>33847</v>
      </c>
      <c r="J440" s="698" t="s">
        <v>1273</v>
      </c>
      <c r="K440" s="698" t="s">
        <v>1248</v>
      </c>
      <c r="L440" s="701">
        <v>122.69</v>
      </c>
      <c r="M440" s="701">
        <v>22</v>
      </c>
      <c r="N440" s="702">
        <v>2699.18</v>
      </c>
    </row>
    <row r="441" spans="1:14" ht="14.4" customHeight="1" x14ac:dyDescent="0.3">
      <c r="A441" s="696" t="s">
        <v>505</v>
      </c>
      <c r="B441" s="697" t="s">
        <v>506</v>
      </c>
      <c r="C441" s="698" t="s">
        <v>519</v>
      </c>
      <c r="D441" s="699" t="s">
        <v>520</v>
      </c>
      <c r="E441" s="700">
        <v>50113006</v>
      </c>
      <c r="F441" s="699" t="s">
        <v>1245</v>
      </c>
      <c r="G441" s="698" t="s">
        <v>525</v>
      </c>
      <c r="H441" s="698">
        <v>217054</v>
      </c>
      <c r="I441" s="698">
        <v>217054</v>
      </c>
      <c r="J441" s="698" t="s">
        <v>1274</v>
      </c>
      <c r="K441" s="698" t="s">
        <v>1275</v>
      </c>
      <c r="L441" s="701">
        <v>1109.0399999999997</v>
      </c>
      <c r="M441" s="701">
        <v>14</v>
      </c>
      <c r="N441" s="702">
        <v>15526.559999999998</v>
      </c>
    </row>
    <row r="442" spans="1:14" ht="14.4" customHeight="1" x14ac:dyDescent="0.3">
      <c r="A442" s="696" t="s">
        <v>505</v>
      </c>
      <c r="B442" s="697" t="s">
        <v>506</v>
      </c>
      <c r="C442" s="698" t="s">
        <v>519</v>
      </c>
      <c r="D442" s="699" t="s">
        <v>520</v>
      </c>
      <c r="E442" s="700">
        <v>50113006</v>
      </c>
      <c r="F442" s="699" t="s">
        <v>1245</v>
      </c>
      <c r="G442" s="698" t="s">
        <v>546</v>
      </c>
      <c r="H442" s="698">
        <v>33527</v>
      </c>
      <c r="I442" s="698">
        <v>33527</v>
      </c>
      <c r="J442" s="698" t="s">
        <v>1274</v>
      </c>
      <c r="K442" s="698" t="s">
        <v>1276</v>
      </c>
      <c r="L442" s="701">
        <v>54.379999999999995</v>
      </c>
      <c r="M442" s="701">
        <v>32</v>
      </c>
      <c r="N442" s="702">
        <v>1740.1599999999999</v>
      </c>
    </row>
    <row r="443" spans="1:14" ht="14.4" customHeight="1" x14ac:dyDescent="0.3">
      <c r="A443" s="696" t="s">
        <v>505</v>
      </c>
      <c r="B443" s="697" t="s">
        <v>506</v>
      </c>
      <c r="C443" s="698" t="s">
        <v>519</v>
      </c>
      <c r="D443" s="699" t="s">
        <v>520</v>
      </c>
      <c r="E443" s="700">
        <v>50113006</v>
      </c>
      <c r="F443" s="699" t="s">
        <v>1245</v>
      </c>
      <c r="G443" s="698" t="s">
        <v>525</v>
      </c>
      <c r="H443" s="698">
        <v>988740</v>
      </c>
      <c r="I443" s="698">
        <v>0</v>
      </c>
      <c r="J443" s="698" t="s">
        <v>1277</v>
      </c>
      <c r="K443" s="698" t="s">
        <v>507</v>
      </c>
      <c r="L443" s="701">
        <v>253.76000000000002</v>
      </c>
      <c r="M443" s="701">
        <v>197</v>
      </c>
      <c r="N443" s="702">
        <v>49990.720000000001</v>
      </c>
    </row>
    <row r="444" spans="1:14" ht="14.4" customHeight="1" x14ac:dyDescent="0.3">
      <c r="A444" s="696" t="s">
        <v>505</v>
      </c>
      <c r="B444" s="697" t="s">
        <v>506</v>
      </c>
      <c r="C444" s="698" t="s">
        <v>519</v>
      </c>
      <c r="D444" s="699" t="s">
        <v>520</v>
      </c>
      <c r="E444" s="700">
        <v>50113006</v>
      </c>
      <c r="F444" s="699" t="s">
        <v>1245</v>
      </c>
      <c r="G444" s="698" t="s">
        <v>525</v>
      </c>
      <c r="H444" s="698">
        <v>846016</v>
      </c>
      <c r="I444" s="698">
        <v>0</v>
      </c>
      <c r="J444" s="698" t="s">
        <v>1278</v>
      </c>
      <c r="K444" s="698" t="s">
        <v>1279</v>
      </c>
      <c r="L444" s="701">
        <v>185.64000000000001</v>
      </c>
      <c r="M444" s="701">
        <v>64</v>
      </c>
      <c r="N444" s="702">
        <v>11880.960000000001</v>
      </c>
    </row>
    <row r="445" spans="1:14" ht="14.4" customHeight="1" x14ac:dyDescent="0.3">
      <c r="A445" s="696" t="s">
        <v>505</v>
      </c>
      <c r="B445" s="697" t="s">
        <v>506</v>
      </c>
      <c r="C445" s="698" t="s">
        <v>519</v>
      </c>
      <c r="D445" s="699" t="s">
        <v>520</v>
      </c>
      <c r="E445" s="700">
        <v>50113006</v>
      </c>
      <c r="F445" s="699" t="s">
        <v>1245</v>
      </c>
      <c r="G445" s="698" t="s">
        <v>546</v>
      </c>
      <c r="H445" s="698">
        <v>133146</v>
      </c>
      <c r="I445" s="698">
        <v>33530</v>
      </c>
      <c r="J445" s="698" t="s">
        <v>1280</v>
      </c>
      <c r="K445" s="698" t="s">
        <v>1281</v>
      </c>
      <c r="L445" s="701">
        <v>156.49</v>
      </c>
      <c r="M445" s="701">
        <v>16</v>
      </c>
      <c r="N445" s="702">
        <v>2503.84</v>
      </c>
    </row>
    <row r="446" spans="1:14" ht="14.4" customHeight="1" x14ac:dyDescent="0.3">
      <c r="A446" s="696" t="s">
        <v>505</v>
      </c>
      <c r="B446" s="697" t="s">
        <v>506</v>
      </c>
      <c r="C446" s="698" t="s">
        <v>519</v>
      </c>
      <c r="D446" s="699" t="s">
        <v>520</v>
      </c>
      <c r="E446" s="700">
        <v>50113006</v>
      </c>
      <c r="F446" s="699" t="s">
        <v>1245</v>
      </c>
      <c r="G446" s="698" t="s">
        <v>525</v>
      </c>
      <c r="H446" s="698">
        <v>217058</v>
      </c>
      <c r="I446" s="698">
        <v>217058</v>
      </c>
      <c r="J446" s="698" t="s">
        <v>1282</v>
      </c>
      <c r="K446" s="698" t="s">
        <v>1283</v>
      </c>
      <c r="L446" s="701">
        <v>1735.2899999999997</v>
      </c>
      <c r="M446" s="701">
        <v>5</v>
      </c>
      <c r="N446" s="702">
        <v>8676.4499999999989</v>
      </c>
    </row>
    <row r="447" spans="1:14" ht="14.4" customHeight="1" x14ac:dyDescent="0.3">
      <c r="A447" s="696" t="s">
        <v>505</v>
      </c>
      <c r="B447" s="697" t="s">
        <v>506</v>
      </c>
      <c r="C447" s="698" t="s">
        <v>519</v>
      </c>
      <c r="D447" s="699" t="s">
        <v>520</v>
      </c>
      <c r="E447" s="700">
        <v>50113006</v>
      </c>
      <c r="F447" s="699" t="s">
        <v>1245</v>
      </c>
      <c r="G447" s="698" t="s">
        <v>525</v>
      </c>
      <c r="H447" s="698">
        <v>153980</v>
      </c>
      <c r="I447" s="698">
        <v>153980</v>
      </c>
      <c r="J447" s="698" t="s">
        <v>1284</v>
      </c>
      <c r="K447" s="698" t="s">
        <v>1276</v>
      </c>
      <c r="L447" s="701">
        <v>325.07</v>
      </c>
      <c r="M447" s="701">
        <v>13</v>
      </c>
      <c r="N447" s="702">
        <v>4225.91</v>
      </c>
    </row>
    <row r="448" spans="1:14" ht="14.4" customHeight="1" x14ac:dyDescent="0.3">
      <c r="A448" s="696" t="s">
        <v>505</v>
      </c>
      <c r="B448" s="697" t="s">
        <v>506</v>
      </c>
      <c r="C448" s="698" t="s">
        <v>519</v>
      </c>
      <c r="D448" s="699" t="s">
        <v>520</v>
      </c>
      <c r="E448" s="700">
        <v>50113006</v>
      </c>
      <c r="F448" s="699" t="s">
        <v>1245</v>
      </c>
      <c r="G448" s="698" t="s">
        <v>525</v>
      </c>
      <c r="H448" s="698">
        <v>993484</v>
      </c>
      <c r="I448" s="698">
        <v>0</v>
      </c>
      <c r="J448" s="698" t="s">
        <v>1285</v>
      </c>
      <c r="K448" s="698" t="s">
        <v>507</v>
      </c>
      <c r="L448" s="701">
        <v>2847.16</v>
      </c>
      <c r="M448" s="701">
        <v>4</v>
      </c>
      <c r="N448" s="702">
        <v>11388.64</v>
      </c>
    </row>
    <row r="449" spans="1:14" ht="14.4" customHeight="1" x14ac:dyDescent="0.3">
      <c r="A449" s="696" t="s">
        <v>505</v>
      </c>
      <c r="B449" s="697" t="s">
        <v>506</v>
      </c>
      <c r="C449" s="698" t="s">
        <v>519</v>
      </c>
      <c r="D449" s="699" t="s">
        <v>520</v>
      </c>
      <c r="E449" s="700">
        <v>50113006</v>
      </c>
      <c r="F449" s="699" t="s">
        <v>1245</v>
      </c>
      <c r="G449" s="698" t="s">
        <v>546</v>
      </c>
      <c r="H449" s="698">
        <v>133220</v>
      </c>
      <c r="I449" s="698">
        <v>33220</v>
      </c>
      <c r="J449" s="698" t="s">
        <v>1286</v>
      </c>
      <c r="K449" s="698" t="s">
        <v>1287</v>
      </c>
      <c r="L449" s="701">
        <v>195.99000000000015</v>
      </c>
      <c r="M449" s="701">
        <v>1</v>
      </c>
      <c r="N449" s="702">
        <v>195.99000000000015</v>
      </c>
    </row>
    <row r="450" spans="1:14" ht="14.4" customHeight="1" x14ac:dyDescent="0.3">
      <c r="A450" s="696" t="s">
        <v>505</v>
      </c>
      <c r="B450" s="697" t="s">
        <v>506</v>
      </c>
      <c r="C450" s="698" t="s">
        <v>519</v>
      </c>
      <c r="D450" s="699" t="s">
        <v>520</v>
      </c>
      <c r="E450" s="700">
        <v>50113008</v>
      </c>
      <c r="F450" s="699" t="s">
        <v>1288</v>
      </c>
      <c r="G450" s="698"/>
      <c r="H450" s="698"/>
      <c r="I450" s="698">
        <v>138455</v>
      </c>
      <c r="J450" s="698" t="s">
        <v>1289</v>
      </c>
      <c r="K450" s="698" t="s">
        <v>1290</v>
      </c>
      <c r="L450" s="701">
        <v>1225.2551915095403</v>
      </c>
      <c r="M450" s="701">
        <v>312</v>
      </c>
      <c r="N450" s="702">
        <v>382279.61975097656</v>
      </c>
    </row>
    <row r="451" spans="1:14" ht="14.4" customHeight="1" x14ac:dyDescent="0.3">
      <c r="A451" s="696" t="s">
        <v>505</v>
      </c>
      <c r="B451" s="697" t="s">
        <v>506</v>
      </c>
      <c r="C451" s="698" t="s">
        <v>519</v>
      </c>
      <c r="D451" s="699" t="s">
        <v>520</v>
      </c>
      <c r="E451" s="700">
        <v>50113008</v>
      </c>
      <c r="F451" s="699" t="s">
        <v>1288</v>
      </c>
      <c r="G451" s="698"/>
      <c r="H451" s="698"/>
      <c r="I451" s="698">
        <v>129057</v>
      </c>
      <c r="J451" s="698" t="s">
        <v>1291</v>
      </c>
      <c r="K451" s="698" t="s">
        <v>1292</v>
      </c>
      <c r="L451" s="701">
        <v>4337.1201171875</v>
      </c>
      <c r="M451" s="701">
        <v>17</v>
      </c>
      <c r="N451" s="702">
        <v>73731.0419921875</v>
      </c>
    </row>
    <row r="452" spans="1:14" ht="14.4" customHeight="1" x14ac:dyDescent="0.3">
      <c r="A452" s="696" t="s">
        <v>505</v>
      </c>
      <c r="B452" s="697" t="s">
        <v>506</v>
      </c>
      <c r="C452" s="698" t="s">
        <v>519</v>
      </c>
      <c r="D452" s="699" t="s">
        <v>520</v>
      </c>
      <c r="E452" s="700">
        <v>50113008</v>
      </c>
      <c r="F452" s="699" t="s">
        <v>1288</v>
      </c>
      <c r="G452" s="698"/>
      <c r="H452" s="698"/>
      <c r="I452" s="698">
        <v>129056</v>
      </c>
      <c r="J452" s="698" t="s">
        <v>1291</v>
      </c>
      <c r="K452" s="698" t="s">
        <v>1293</v>
      </c>
      <c r="L452" s="701">
        <v>2168.56005859375</v>
      </c>
      <c r="M452" s="701">
        <v>19</v>
      </c>
      <c r="N452" s="702">
        <v>41202.64111328125</v>
      </c>
    </row>
    <row r="453" spans="1:14" ht="14.4" customHeight="1" x14ac:dyDescent="0.3">
      <c r="A453" s="696" t="s">
        <v>505</v>
      </c>
      <c r="B453" s="697" t="s">
        <v>506</v>
      </c>
      <c r="C453" s="698" t="s">
        <v>519</v>
      </c>
      <c r="D453" s="699" t="s">
        <v>520</v>
      </c>
      <c r="E453" s="700">
        <v>50113008</v>
      </c>
      <c r="F453" s="699" t="s">
        <v>1288</v>
      </c>
      <c r="G453" s="698"/>
      <c r="H453" s="698"/>
      <c r="I453" s="698">
        <v>62464</v>
      </c>
      <c r="J453" s="698" t="s">
        <v>1294</v>
      </c>
      <c r="K453" s="698" t="s">
        <v>1295</v>
      </c>
      <c r="L453" s="701">
        <v>9157.759765625</v>
      </c>
      <c r="M453" s="701">
        <v>64</v>
      </c>
      <c r="N453" s="702">
        <v>586096.625</v>
      </c>
    </row>
    <row r="454" spans="1:14" ht="14.4" customHeight="1" x14ac:dyDescent="0.3">
      <c r="A454" s="696" t="s">
        <v>505</v>
      </c>
      <c r="B454" s="697" t="s">
        <v>506</v>
      </c>
      <c r="C454" s="698" t="s">
        <v>519</v>
      </c>
      <c r="D454" s="699" t="s">
        <v>520</v>
      </c>
      <c r="E454" s="700">
        <v>50113008</v>
      </c>
      <c r="F454" s="699" t="s">
        <v>1288</v>
      </c>
      <c r="G454" s="698"/>
      <c r="H454" s="698"/>
      <c r="I454" s="698">
        <v>104051</v>
      </c>
      <c r="J454" s="698" t="s">
        <v>1296</v>
      </c>
      <c r="K454" s="698" t="s">
        <v>1290</v>
      </c>
      <c r="L454" s="701">
        <v>1291.4000244140625</v>
      </c>
      <c r="M454" s="701">
        <v>2</v>
      </c>
      <c r="N454" s="702">
        <v>2582.800048828125</v>
      </c>
    </row>
    <row r="455" spans="1:14" ht="14.4" customHeight="1" x14ac:dyDescent="0.3">
      <c r="A455" s="696" t="s">
        <v>505</v>
      </c>
      <c r="B455" s="697" t="s">
        <v>506</v>
      </c>
      <c r="C455" s="698" t="s">
        <v>519</v>
      </c>
      <c r="D455" s="699" t="s">
        <v>520</v>
      </c>
      <c r="E455" s="700">
        <v>50113008</v>
      </c>
      <c r="F455" s="699" t="s">
        <v>1288</v>
      </c>
      <c r="G455" s="698"/>
      <c r="H455" s="698"/>
      <c r="I455" s="698">
        <v>26042</v>
      </c>
      <c r="J455" s="698" t="s">
        <v>1297</v>
      </c>
      <c r="K455" s="698" t="s">
        <v>1298</v>
      </c>
      <c r="L455" s="701">
        <v>9559</v>
      </c>
      <c r="M455" s="701">
        <v>7</v>
      </c>
      <c r="N455" s="702">
        <v>66913</v>
      </c>
    </row>
    <row r="456" spans="1:14" ht="14.4" customHeight="1" x14ac:dyDescent="0.3">
      <c r="A456" s="696" t="s">
        <v>505</v>
      </c>
      <c r="B456" s="697" t="s">
        <v>506</v>
      </c>
      <c r="C456" s="698" t="s">
        <v>519</v>
      </c>
      <c r="D456" s="699" t="s">
        <v>520</v>
      </c>
      <c r="E456" s="700">
        <v>50113008</v>
      </c>
      <c r="F456" s="699" t="s">
        <v>1288</v>
      </c>
      <c r="G456" s="698"/>
      <c r="H456" s="698"/>
      <c r="I456" s="698">
        <v>212531</v>
      </c>
      <c r="J456" s="698" t="s">
        <v>1299</v>
      </c>
      <c r="K456" s="698" t="s">
        <v>1300</v>
      </c>
      <c r="L456" s="701">
        <v>8610.7998046875</v>
      </c>
      <c r="M456" s="701">
        <v>17</v>
      </c>
      <c r="N456" s="702">
        <v>146383.5966796875</v>
      </c>
    </row>
    <row r="457" spans="1:14" ht="14.4" customHeight="1" x14ac:dyDescent="0.3">
      <c r="A457" s="696" t="s">
        <v>505</v>
      </c>
      <c r="B457" s="697" t="s">
        <v>506</v>
      </c>
      <c r="C457" s="698" t="s">
        <v>519</v>
      </c>
      <c r="D457" s="699" t="s">
        <v>520</v>
      </c>
      <c r="E457" s="700">
        <v>50113008</v>
      </c>
      <c r="F457" s="699" t="s">
        <v>1288</v>
      </c>
      <c r="G457" s="698"/>
      <c r="H457" s="698"/>
      <c r="I457" s="698">
        <v>6480</v>
      </c>
      <c r="J457" s="698" t="s">
        <v>1299</v>
      </c>
      <c r="K457" s="698" t="s">
        <v>1301</v>
      </c>
      <c r="L457" s="701">
        <v>4305.3999633789062</v>
      </c>
      <c r="M457" s="701">
        <v>32</v>
      </c>
      <c r="N457" s="702">
        <v>137772.798828125</v>
      </c>
    </row>
    <row r="458" spans="1:14" ht="14.4" customHeight="1" x14ac:dyDescent="0.3">
      <c r="A458" s="696" t="s">
        <v>505</v>
      </c>
      <c r="B458" s="697" t="s">
        <v>506</v>
      </c>
      <c r="C458" s="698" t="s">
        <v>519</v>
      </c>
      <c r="D458" s="699" t="s">
        <v>520</v>
      </c>
      <c r="E458" s="700">
        <v>50113008</v>
      </c>
      <c r="F458" s="699" t="s">
        <v>1288</v>
      </c>
      <c r="G458" s="698"/>
      <c r="H458" s="698"/>
      <c r="I458" s="698">
        <v>214076</v>
      </c>
      <c r="J458" s="698" t="s">
        <v>1302</v>
      </c>
      <c r="K458" s="698" t="s">
        <v>1303</v>
      </c>
      <c r="L458" s="701">
        <v>1971.4200439453125</v>
      </c>
      <c r="M458" s="701">
        <v>18</v>
      </c>
      <c r="N458" s="702">
        <v>35485.560791015625</v>
      </c>
    </row>
    <row r="459" spans="1:14" ht="14.4" customHeight="1" x14ac:dyDescent="0.3">
      <c r="A459" s="696" t="s">
        <v>505</v>
      </c>
      <c r="B459" s="697" t="s">
        <v>506</v>
      </c>
      <c r="C459" s="698" t="s">
        <v>519</v>
      </c>
      <c r="D459" s="699" t="s">
        <v>520</v>
      </c>
      <c r="E459" s="700">
        <v>50113011</v>
      </c>
      <c r="F459" s="699" t="s">
        <v>1304</v>
      </c>
      <c r="G459" s="698"/>
      <c r="H459" s="698"/>
      <c r="I459" s="698">
        <v>209906</v>
      </c>
      <c r="J459" s="698" t="s">
        <v>1305</v>
      </c>
      <c r="K459" s="698" t="s">
        <v>1306</v>
      </c>
      <c r="L459" s="701">
        <v>6812.080078125</v>
      </c>
      <c r="M459" s="701">
        <v>1</v>
      </c>
      <c r="N459" s="702">
        <v>6812.080078125</v>
      </c>
    </row>
    <row r="460" spans="1:14" ht="14.4" customHeight="1" x14ac:dyDescent="0.3">
      <c r="A460" s="696" t="s">
        <v>505</v>
      </c>
      <c r="B460" s="697" t="s">
        <v>506</v>
      </c>
      <c r="C460" s="698" t="s">
        <v>519</v>
      </c>
      <c r="D460" s="699" t="s">
        <v>520</v>
      </c>
      <c r="E460" s="700">
        <v>50113011</v>
      </c>
      <c r="F460" s="699" t="s">
        <v>1304</v>
      </c>
      <c r="G460" s="698"/>
      <c r="H460" s="698"/>
      <c r="I460" s="698">
        <v>171965</v>
      </c>
      <c r="J460" s="698" t="s">
        <v>1307</v>
      </c>
      <c r="K460" s="698" t="s">
        <v>1308</v>
      </c>
      <c r="L460" s="701">
        <v>6458.10009765625</v>
      </c>
      <c r="M460" s="701">
        <v>3</v>
      </c>
      <c r="N460" s="702">
        <v>19374.30029296875</v>
      </c>
    </row>
    <row r="461" spans="1:14" ht="14.4" customHeight="1" x14ac:dyDescent="0.3">
      <c r="A461" s="696" t="s">
        <v>505</v>
      </c>
      <c r="B461" s="697" t="s">
        <v>506</v>
      </c>
      <c r="C461" s="698" t="s">
        <v>519</v>
      </c>
      <c r="D461" s="699" t="s">
        <v>520</v>
      </c>
      <c r="E461" s="700">
        <v>50113013</v>
      </c>
      <c r="F461" s="699" t="s">
        <v>1309</v>
      </c>
      <c r="G461" s="698" t="s">
        <v>546</v>
      </c>
      <c r="H461" s="698">
        <v>194155</v>
      </c>
      <c r="I461" s="698">
        <v>94155</v>
      </c>
      <c r="J461" s="698" t="s">
        <v>1310</v>
      </c>
      <c r="K461" s="698" t="s">
        <v>1311</v>
      </c>
      <c r="L461" s="701">
        <v>320.60846153846165</v>
      </c>
      <c r="M461" s="701">
        <v>12.999999999999998</v>
      </c>
      <c r="N461" s="702">
        <v>4167.9100000000008</v>
      </c>
    </row>
    <row r="462" spans="1:14" ht="14.4" customHeight="1" x14ac:dyDescent="0.3">
      <c r="A462" s="696" t="s">
        <v>505</v>
      </c>
      <c r="B462" s="697" t="s">
        <v>506</v>
      </c>
      <c r="C462" s="698" t="s">
        <v>519</v>
      </c>
      <c r="D462" s="699" t="s">
        <v>520</v>
      </c>
      <c r="E462" s="700">
        <v>50113013</v>
      </c>
      <c r="F462" s="699" t="s">
        <v>1309</v>
      </c>
      <c r="G462" s="698" t="s">
        <v>270</v>
      </c>
      <c r="H462" s="698">
        <v>500696</v>
      </c>
      <c r="I462" s="698">
        <v>141836</v>
      </c>
      <c r="J462" s="698" t="s">
        <v>1312</v>
      </c>
      <c r="K462" s="698" t="s">
        <v>1313</v>
      </c>
      <c r="L462" s="701">
        <v>737.12161290322592</v>
      </c>
      <c r="M462" s="701">
        <v>3.0999999999999996</v>
      </c>
      <c r="N462" s="702">
        <v>2285.0770000000002</v>
      </c>
    </row>
    <row r="463" spans="1:14" ht="14.4" customHeight="1" x14ac:dyDescent="0.3">
      <c r="A463" s="696" t="s">
        <v>505</v>
      </c>
      <c r="B463" s="697" t="s">
        <v>506</v>
      </c>
      <c r="C463" s="698" t="s">
        <v>519</v>
      </c>
      <c r="D463" s="699" t="s">
        <v>520</v>
      </c>
      <c r="E463" s="700">
        <v>50113013</v>
      </c>
      <c r="F463" s="699" t="s">
        <v>1309</v>
      </c>
      <c r="G463" s="698" t="s">
        <v>546</v>
      </c>
      <c r="H463" s="698">
        <v>195147</v>
      </c>
      <c r="I463" s="698">
        <v>195147</v>
      </c>
      <c r="J463" s="698" t="s">
        <v>1314</v>
      </c>
      <c r="K463" s="698" t="s">
        <v>1315</v>
      </c>
      <c r="L463" s="701">
        <v>609.01393574297185</v>
      </c>
      <c r="M463" s="701">
        <v>24.900000000000006</v>
      </c>
      <c r="N463" s="702">
        <v>15164.447000000002</v>
      </c>
    </row>
    <row r="464" spans="1:14" ht="14.4" customHeight="1" x14ac:dyDescent="0.3">
      <c r="A464" s="696" t="s">
        <v>505</v>
      </c>
      <c r="B464" s="697" t="s">
        <v>506</v>
      </c>
      <c r="C464" s="698" t="s">
        <v>519</v>
      </c>
      <c r="D464" s="699" t="s">
        <v>520</v>
      </c>
      <c r="E464" s="700">
        <v>50113013</v>
      </c>
      <c r="F464" s="699" t="s">
        <v>1309</v>
      </c>
      <c r="G464" s="698" t="s">
        <v>525</v>
      </c>
      <c r="H464" s="698">
        <v>172972</v>
      </c>
      <c r="I464" s="698">
        <v>72972</v>
      </c>
      <c r="J464" s="698" t="s">
        <v>1316</v>
      </c>
      <c r="K464" s="698" t="s">
        <v>1317</v>
      </c>
      <c r="L464" s="701">
        <v>181.65000000000086</v>
      </c>
      <c r="M464" s="701">
        <v>445.59999999999951</v>
      </c>
      <c r="N464" s="702">
        <v>80943.240000000296</v>
      </c>
    </row>
    <row r="465" spans="1:14" ht="14.4" customHeight="1" x14ac:dyDescent="0.3">
      <c r="A465" s="696" t="s">
        <v>505</v>
      </c>
      <c r="B465" s="697" t="s">
        <v>506</v>
      </c>
      <c r="C465" s="698" t="s">
        <v>519</v>
      </c>
      <c r="D465" s="699" t="s">
        <v>520</v>
      </c>
      <c r="E465" s="700">
        <v>50113013</v>
      </c>
      <c r="F465" s="699" t="s">
        <v>1309</v>
      </c>
      <c r="G465" s="698" t="s">
        <v>546</v>
      </c>
      <c r="H465" s="698">
        <v>105951</v>
      </c>
      <c r="I465" s="698">
        <v>5951</v>
      </c>
      <c r="J465" s="698" t="s">
        <v>1318</v>
      </c>
      <c r="K465" s="698" t="s">
        <v>1319</v>
      </c>
      <c r="L465" s="701">
        <v>114.92000000000003</v>
      </c>
      <c r="M465" s="701">
        <v>1</v>
      </c>
      <c r="N465" s="702">
        <v>114.92000000000003</v>
      </c>
    </row>
    <row r="466" spans="1:14" ht="14.4" customHeight="1" x14ac:dyDescent="0.3">
      <c r="A466" s="696" t="s">
        <v>505</v>
      </c>
      <c r="B466" s="697" t="s">
        <v>506</v>
      </c>
      <c r="C466" s="698" t="s">
        <v>519</v>
      </c>
      <c r="D466" s="699" t="s">
        <v>520</v>
      </c>
      <c r="E466" s="700">
        <v>50113013</v>
      </c>
      <c r="F466" s="699" t="s">
        <v>1309</v>
      </c>
      <c r="G466" s="698" t="s">
        <v>525</v>
      </c>
      <c r="H466" s="698">
        <v>201958</v>
      </c>
      <c r="I466" s="698">
        <v>201958</v>
      </c>
      <c r="J466" s="698" t="s">
        <v>1320</v>
      </c>
      <c r="K466" s="698" t="s">
        <v>1321</v>
      </c>
      <c r="L466" s="701">
        <v>239.70555555555561</v>
      </c>
      <c r="M466" s="701">
        <v>9</v>
      </c>
      <c r="N466" s="702">
        <v>2157.3500000000004</v>
      </c>
    </row>
    <row r="467" spans="1:14" ht="14.4" customHeight="1" x14ac:dyDescent="0.3">
      <c r="A467" s="696" t="s">
        <v>505</v>
      </c>
      <c r="B467" s="697" t="s">
        <v>506</v>
      </c>
      <c r="C467" s="698" t="s">
        <v>519</v>
      </c>
      <c r="D467" s="699" t="s">
        <v>520</v>
      </c>
      <c r="E467" s="700">
        <v>50113013</v>
      </c>
      <c r="F467" s="699" t="s">
        <v>1309</v>
      </c>
      <c r="G467" s="698" t="s">
        <v>525</v>
      </c>
      <c r="H467" s="698">
        <v>201961</v>
      </c>
      <c r="I467" s="698">
        <v>201961</v>
      </c>
      <c r="J467" s="698" t="s">
        <v>1322</v>
      </c>
      <c r="K467" s="698" t="s">
        <v>1323</v>
      </c>
      <c r="L467" s="701">
        <v>320.375</v>
      </c>
      <c r="M467" s="701">
        <v>6</v>
      </c>
      <c r="N467" s="702">
        <v>1922.25</v>
      </c>
    </row>
    <row r="468" spans="1:14" ht="14.4" customHeight="1" x14ac:dyDescent="0.3">
      <c r="A468" s="696" t="s">
        <v>505</v>
      </c>
      <c r="B468" s="697" t="s">
        <v>506</v>
      </c>
      <c r="C468" s="698" t="s">
        <v>519</v>
      </c>
      <c r="D468" s="699" t="s">
        <v>520</v>
      </c>
      <c r="E468" s="700">
        <v>50113013</v>
      </c>
      <c r="F468" s="699" t="s">
        <v>1309</v>
      </c>
      <c r="G468" s="698" t="s">
        <v>546</v>
      </c>
      <c r="H468" s="698">
        <v>183817</v>
      </c>
      <c r="I468" s="698">
        <v>183817</v>
      </c>
      <c r="J468" s="698" t="s">
        <v>1324</v>
      </c>
      <c r="K468" s="698" t="s">
        <v>1325</v>
      </c>
      <c r="L468" s="701">
        <v>918.5</v>
      </c>
      <c r="M468" s="701">
        <v>163.5</v>
      </c>
      <c r="N468" s="702">
        <v>150174.75</v>
      </c>
    </row>
    <row r="469" spans="1:14" ht="14.4" customHeight="1" x14ac:dyDescent="0.3">
      <c r="A469" s="696" t="s">
        <v>505</v>
      </c>
      <c r="B469" s="697" t="s">
        <v>506</v>
      </c>
      <c r="C469" s="698" t="s">
        <v>519</v>
      </c>
      <c r="D469" s="699" t="s">
        <v>520</v>
      </c>
      <c r="E469" s="700">
        <v>50113013</v>
      </c>
      <c r="F469" s="699" t="s">
        <v>1309</v>
      </c>
      <c r="G469" s="698" t="s">
        <v>525</v>
      </c>
      <c r="H469" s="698">
        <v>849202</v>
      </c>
      <c r="I469" s="698">
        <v>154165</v>
      </c>
      <c r="J469" s="698" t="s">
        <v>598</v>
      </c>
      <c r="K469" s="698" t="s">
        <v>599</v>
      </c>
      <c r="L469" s="701">
        <v>264.35999999999996</v>
      </c>
      <c r="M469" s="701">
        <v>7</v>
      </c>
      <c r="N469" s="702">
        <v>1850.5199999999995</v>
      </c>
    </row>
    <row r="470" spans="1:14" ht="14.4" customHeight="1" x14ac:dyDescent="0.3">
      <c r="A470" s="696" t="s">
        <v>505</v>
      </c>
      <c r="B470" s="697" t="s">
        <v>506</v>
      </c>
      <c r="C470" s="698" t="s">
        <v>519</v>
      </c>
      <c r="D470" s="699" t="s">
        <v>520</v>
      </c>
      <c r="E470" s="700">
        <v>50113013</v>
      </c>
      <c r="F470" s="699" t="s">
        <v>1309</v>
      </c>
      <c r="G470" s="698" t="s">
        <v>525</v>
      </c>
      <c r="H470" s="698">
        <v>164831</v>
      </c>
      <c r="I470" s="698">
        <v>64831</v>
      </c>
      <c r="J470" s="698" t="s">
        <v>1326</v>
      </c>
      <c r="K470" s="698" t="s">
        <v>1327</v>
      </c>
      <c r="L470" s="701">
        <v>198.88</v>
      </c>
      <c r="M470" s="701">
        <v>8.3000000000000007</v>
      </c>
      <c r="N470" s="702">
        <v>1650.7040000000002</v>
      </c>
    </row>
    <row r="471" spans="1:14" ht="14.4" customHeight="1" x14ac:dyDescent="0.3">
      <c r="A471" s="696" t="s">
        <v>505</v>
      </c>
      <c r="B471" s="697" t="s">
        <v>506</v>
      </c>
      <c r="C471" s="698" t="s">
        <v>519</v>
      </c>
      <c r="D471" s="699" t="s">
        <v>520</v>
      </c>
      <c r="E471" s="700">
        <v>50113013</v>
      </c>
      <c r="F471" s="699" t="s">
        <v>1309</v>
      </c>
      <c r="G471" s="698" t="s">
        <v>525</v>
      </c>
      <c r="H471" s="698">
        <v>183926</v>
      </c>
      <c r="I471" s="698">
        <v>183926</v>
      </c>
      <c r="J471" s="698" t="s">
        <v>1328</v>
      </c>
      <c r="K471" s="698" t="s">
        <v>1325</v>
      </c>
      <c r="L471" s="701">
        <v>133.68563025210082</v>
      </c>
      <c r="M471" s="701">
        <v>23.8</v>
      </c>
      <c r="N471" s="702">
        <v>3181.7179999999994</v>
      </c>
    </row>
    <row r="472" spans="1:14" ht="14.4" customHeight="1" x14ac:dyDescent="0.3">
      <c r="A472" s="696" t="s">
        <v>505</v>
      </c>
      <c r="B472" s="697" t="s">
        <v>506</v>
      </c>
      <c r="C472" s="698" t="s">
        <v>519</v>
      </c>
      <c r="D472" s="699" t="s">
        <v>520</v>
      </c>
      <c r="E472" s="700">
        <v>50113013</v>
      </c>
      <c r="F472" s="699" t="s">
        <v>1309</v>
      </c>
      <c r="G472" s="698" t="s">
        <v>525</v>
      </c>
      <c r="H472" s="698">
        <v>117170</v>
      </c>
      <c r="I472" s="698">
        <v>17170</v>
      </c>
      <c r="J472" s="698" t="s">
        <v>1329</v>
      </c>
      <c r="K472" s="698" t="s">
        <v>1330</v>
      </c>
      <c r="L472" s="701">
        <v>72.78</v>
      </c>
      <c r="M472" s="701">
        <v>10</v>
      </c>
      <c r="N472" s="702">
        <v>727.8</v>
      </c>
    </row>
    <row r="473" spans="1:14" ht="14.4" customHeight="1" x14ac:dyDescent="0.3">
      <c r="A473" s="696" t="s">
        <v>505</v>
      </c>
      <c r="B473" s="697" t="s">
        <v>506</v>
      </c>
      <c r="C473" s="698" t="s">
        <v>519</v>
      </c>
      <c r="D473" s="699" t="s">
        <v>520</v>
      </c>
      <c r="E473" s="700">
        <v>50113013</v>
      </c>
      <c r="F473" s="699" t="s">
        <v>1309</v>
      </c>
      <c r="G473" s="698" t="s">
        <v>525</v>
      </c>
      <c r="H473" s="698">
        <v>193922</v>
      </c>
      <c r="I473" s="698">
        <v>93922</v>
      </c>
      <c r="J473" s="698" t="s">
        <v>1331</v>
      </c>
      <c r="K473" s="698" t="s">
        <v>1332</v>
      </c>
      <c r="L473" s="701">
        <v>0</v>
      </c>
      <c r="M473" s="701">
        <v>0</v>
      </c>
      <c r="N473" s="702">
        <v>0</v>
      </c>
    </row>
    <row r="474" spans="1:14" ht="14.4" customHeight="1" x14ac:dyDescent="0.3">
      <c r="A474" s="696" t="s">
        <v>505</v>
      </c>
      <c r="B474" s="697" t="s">
        <v>506</v>
      </c>
      <c r="C474" s="698" t="s">
        <v>519</v>
      </c>
      <c r="D474" s="699" t="s">
        <v>520</v>
      </c>
      <c r="E474" s="700">
        <v>50113013</v>
      </c>
      <c r="F474" s="699" t="s">
        <v>1309</v>
      </c>
      <c r="G474" s="698" t="s">
        <v>525</v>
      </c>
      <c r="H474" s="698">
        <v>111706</v>
      </c>
      <c r="I474" s="698">
        <v>11706</v>
      </c>
      <c r="J474" s="698" t="s">
        <v>615</v>
      </c>
      <c r="K474" s="698" t="s">
        <v>1143</v>
      </c>
      <c r="L474" s="701">
        <v>307.62150943396227</v>
      </c>
      <c r="M474" s="701">
        <v>53</v>
      </c>
      <c r="N474" s="702">
        <v>16303.94</v>
      </c>
    </row>
    <row r="475" spans="1:14" ht="14.4" customHeight="1" x14ac:dyDescent="0.3">
      <c r="A475" s="696" t="s">
        <v>505</v>
      </c>
      <c r="B475" s="697" t="s">
        <v>506</v>
      </c>
      <c r="C475" s="698" t="s">
        <v>519</v>
      </c>
      <c r="D475" s="699" t="s">
        <v>520</v>
      </c>
      <c r="E475" s="700">
        <v>50113013</v>
      </c>
      <c r="F475" s="699" t="s">
        <v>1309</v>
      </c>
      <c r="G475" s="698" t="s">
        <v>525</v>
      </c>
      <c r="H475" s="698">
        <v>131654</v>
      </c>
      <c r="I475" s="698">
        <v>131654</v>
      </c>
      <c r="J475" s="698" t="s">
        <v>1333</v>
      </c>
      <c r="K475" s="698" t="s">
        <v>1334</v>
      </c>
      <c r="L475" s="701">
        <v>264</v>
      </c>
      <c r="M475" s="701">
        <v>2</v>
      </c>
      <c r="N475" s="702">
        <v>528</v>
      </c>
    </row>
    <row r="476" spans="1:14" ht="14.4" customHeight="1" x14ac:dyDescent="0.3">
      <c r="A476" s="696" t="s">
        <v>505</v>
      </c>
      <c r="B476" s="697" t="s">
        <v>506</v>
      </c>
      <c r="C476" s="698" t="s">
        <v>519</v>
      </c>
      <c r="D476" s="699" t="s">
        <v>520</v>
      </c>
      <c r="E476" s="700">
        <v>50113013</v>
      </c>
      <c r="F476" s="699" t="s">
        <v>1309</v>
      </c>
      <c r="G476" s="698" t="s">
        <v>525</v>
      </c>
      <c r="H476" s="698">
        <v>131656</v>
      </c>
      <c r="I476" s="698">
        <v>131656</v>
      </c>
      <c r="J476" s="698" t="s">
        <v>1335</v>
      </c>
      <c r="K476" s="698" t="s">
        <v>1336</v>
      </c>
      <c r="L476" s="701">
        <v>517</v>
      </c>
      <c r="M476" s="701">
        <v>13.2</v>
      </c>
      <c r="N476" s="702">
        <v>6824.4</v>
      </c>
    </row>
    <row r="477" spans="1:14" ht="14.4" customHeight="1" x14ac:dyDescent="0.3">
      <c r="A477" s="696" t="s">
        <v>505</v>
      </c>
      <c r="B477" s="697" t="s">
        <v>506</v>
      </c>
      <c r="C477" s="698" t="s">
        <v>519</v>
      </c>
      <c r="D477" s="699" t="s">
        <v>520</v>
      </c>
      <c r="E477" s="700">
        <v>50113013</v>
      </c>
      <c r="F477" s="699" t="s">
        <v>1309</v>
      </c>
      <c r="G477" s="698" t="s">
        <v>525</v>
      </c>
      <c r="H477" s="698">
        <v>121240</v>
      </c>
      <c r="I477" s="698">
        <v>121240</v>
      </c>
      <c r="J477" s="698" t="s">
        <v>1337</v>
      </c>
      <c r="K477" s="698" t="s">
        <v>1338</v>
      </c>
      <c r="L477" s="701">
        <v>374</v>
      </c>
      <c r="M477" s="701">
        <v>1</v>
      </c>
      <c r="N477" s="702">
        <v>374</v>
      </c>
    </row>
    <row r="478" spans="1:14" ht="14.4" customHeight="1" x14ac:dyDescent="0.3">
      <c r="A478" s="696" t="s">
        <v>505</v>
      </c>
      <c r="B478" s="697" t="s">
        <v>506</v>
      </c>
      <c r="C478" s="698" t="s">
        <v>519</v>
      </c>
      <c r="D478" s="699" t="s">
        <v>520</v>
      </c>
      <c r="E478" s="700">
        <v>50113013</v>
      </c>
      <c r="F478" s="699" t="s">
        <v>1309</v>
      </c>
      <c r="G478" s="698" t="s">
        <v>525</v>
      </c>
      <c r="H478" s="698">
        <v>162180</v>
      </c>
      <c r="I478" s="698">
        <v>162180</v>
      </c>
      <c r="J478" s="698" t="s">
        <v>1339</v>
      </c>
      <c r="K478" s="698" t="s">
        <v>1340</v>
      </c>
      <c r="L478" s="701">
        <v>152.9</v>
      </c>
      <c r="M478" s="701">
        <v>5</v>
      </c>
      <c r="N478" s="702">
        <v>764.5</v>
      </c>
    </row>
    <row r="479" spans="1:14" ht="14.4" customHeight="1" x14ac:dyDescent="0.3">
      <c r="A479" s="696" t="s">
        <v>505</v>
      </c>
      <c r="B479" s="697" t="s">
        <v>506</v>
      </c>
      <c r="C479" s="698" t="s">
        <v>519</v>
      </c>
      <c r="D479" s="699" t="s">
        <v>520</v>
      </c>
      <c r="E479" s="700">
        <v>50113013</v>
      </c>
      <c r="F479" s="699" t="s">
        <v>1309</v>
      </c>
      <c r="G479" s="698" t="s">
        <v>525</v>
      </c>
      <c r="H479" s="698">
        <v>162187</v>
      </c>
      <c r="I479" s="698">
        <v>162187</v>
      </c>
      <c r="J479" s="698" t="s">
        <v>1341</v>
      </c>
      <c r="K479" s="698" t="s">
        <v>1342</v>
      </c>
      <c r="L479" s="701">
        <v>293.20689655172407</v>
      </c>
      <c r="M479" s="701">
        <v>40.600000000000009</v>
      </c>
      <c r="N479" s="702">
        <v>11904.2</v>
      </c>
    </row>
    <row r="480" spans="1:14" ht="14.4" customHeight="1" x14ac:dyDescent="0.3">
      <c r="A480" s="696" t="s">
        <v>505</v>
      </c>
      <c r="B480" s="697" t="s">
        <v>506</v>
      </c>
      <c r="C480" s="698" t="s">
        <v>519</v>
      </c>
      <c r="D480" s="699" t="s">
        <v>520</v>
      </c>
      <c r="E480" s="700">
        <v>50113013</v>
      </c>
      <c r="F480" s="699" t="s">
        <v>1309</v>
      </c>
      <c r="G480" s="698" t="s">
        <v>546</v>
      </c>
      <c r="H480" s="698">
        <v>849655</v>
      </c>
      <c r="I480" s="698">
        <v>129836</v>
      </c>
      <c r="J480" s="698" t="s">
        <v>1343</v>
      </c>
      <c r="K480" s="698" t="s">
        <v>1344</v>
      </c>
      <c r="L480" s="701">
        <v>262.89999999999986</v>
      </c>
      <c r="M480" s="701">
        <v>35</v>
      </c>
      <c r="N480" s="702">
        <v>9201.4999999999945</v>
      </c>
    </row>
    <row r="481" spans="1:14" ht="14.4" customHeight="1" x14ac:dyDescent="0.3">
      <c r="A481" s="696" t="s">
        <v>505</v>
      </c>
      <c r="B481" s="697" t="s">
        <v>506</v>
      </c>
      <c r="C481" s="698" t="s">
        <v>519</v>
      </c>
      <c r="D481" s="699" t="s">
        <v>520</v>
      </c>
      <c r="E481" s="700">
        <v>50113013</v>
      </c>
      <c r="F481" s="699" t="s">
        <v>1309</v>
      </c>
      <c r="G481" s="698" t="s">
        <v>546</v>
      </c>
      <c r="H481" s="698">
        <v>849887</v>
      </c>
      <c r="I481" s="698">
        <v>129834</v>
      </c>
      <c r="J481" s="698" t="s">
        <v>1345</v>
      </c>
      <c r="K481" s="698" t="s">
        <v>507</v>
      </c>
      <c r="L481" s="701">
        <v>154</v>
      </c>
      <c r="M481" s="701">
        <v>16.200000000000006</v>
      </c>
      <c r="N481" s="702">
        <v>2494.8000000000011</v>
      </c>
    </row>
    <row r="482" spans="1:14" ht="14.4" customHeight="1" x14ac:dyDescent="0.3">
      <c r="A482" s="696" t="s">
        <v>505</v>
      </c>
      <c r="B482" s="697" t="s">
        <v>506</v>
      </c>
      <c r="C482" s="698" t="s">
        <v>519</v>
      </c>
      <c r="D482" s="699" t="s">
        <v>520</v>
      </c>
      <c r="E482" s="700">
        <v>50113013</v>
      </c>
      <c r="F482" s="699" t="s">
        <v>1309</v>
      </c>
      <c r="G482" s="698" t="s">
        <v>525</v>
      </c>
      <c r="H482" s="698">
        <v>218400</v>
      </c>
      <c r="I482" s="698">
        <v>218400</v>
      </c>
      <c r="J482" s="698" t="s">
        <v>1346</v>
      </c>
      <c r="K482" s="698" t="s">
        <v>1347</v>
      </c>
      <c r="L482" s="701">
        <v>597.74</v>
      </c>
      <c r="M482" s="701">
        <v>29.4</v>
      </c>
      <c r="N482" s="702">
        <v>17573.556</v>
      </c>
    </row>
    <row r="483" spans="1:14" ht="14.4" customHeight="1" x14ac:dyDescent="0.3">
      <c r="A483" s="696" t="s">
        <v>505</v>
      </c>
      <c r="B483" s="697" t="s">
        <v>506</v>
      </c>
      <c r="C483" s="698" t="s">
        <v>519</v>
      </c>
      <c r="D483" s="699" t="s">
        <v>520</v>
      </c>
      <c r="E483" s="700">
        <v>50113013</v>
      </c>
      <c r="F483" s="699" t="s">
        <v>1309</v>
      </c>
      <c r="G483" s="698" t="s">
        <v>525</v>
      </c>
      <c r="H483" s="698">
        <v>120605</v>
      </c>
      <c r="I483" s="698">
        <v>20605</v>
      </c>
      <c r="J483" s="698" t="s">
        <v>1346</v>
      </c>
      <c r="K483" s="698" t="s">
        <v>1347</v>
      </c>
      <c r="L483" s="701">
        <v>597.74</v>
      </c>
      <c r="M483" s="701">
        <v>0.59999999999999964</v>
      </c>
      <c r="N483" s="702">
        <v>358.64399999999978</v>
      </c>
    </row>
    <row r="484" spans="1:14" ht="14.4" customHeight="1" x14ac:dyDescent="0.3">
      <c r="A484" s="696" t="s">
        <v>505</v>
      </c>
      <c r="B484" s="697" t="s">
        <v>506</v>
      </c>
      <c r="C484" s="698" t="s">
        <v>519</v>
      </c>
      <c r="D484" s="699" t="s">
        <v>520</v>
      </c>
      <c r="E484" s="700">
        <v>50113013</v>
      </c>
      <c r="F484" s="699" t="s">
        <v>1309</v>
      </c>
      <c r="G484" s="698" t="s">
        <v>507</v>
      </c>
      <c r="H484" s="698">
        <v>202911</v>
      </c>
      <c r="I484" s="698">
        <v>202911</v>
      </c>
      <c r="J484" s="698" t="s">
        <v>1348</v>
      </c>
      <c r="K484" s="698" t="s">
        <v>1349</v>
      </c>
      <c r="L484" s="701">
        <v>6285.3690476190468</v>
      </c>
      <c r="M484" s="701">
        <v>2.1</v>
      </c>
      <c r="N484" s="702">
        <v>13199.275</v>
      </c>
    </row>
    <row r="485" spans="1:14" ht="14.4" customHeight="1" x14ac:dyDescent="0.3">
      <c r="A485" s="696" t="s">
        <v>505</v>
      </c>
      <c r="B485" s="697" t="s">
        <v>506</v>
      </c>
      <c r="C485" s="698" t="s">
        <v>519</v>
      </c>
      <c r="D485" s="699" t="s">
        <v>520</v>
      </c>
      <c r="E485" s="700">
        <v>50113013</v>
      </c>
      <c r="F485" s="699" t="s">
        <v>1309</v>
      </c>
      <c r="G485" s="698" t="s">
        <v>525</v>
      </c>
      <c r="H485" s="698">
        <v>102427</v>
      </c>
      <c r="I485" s="698">
        <v>2427</v>
      </c>
      <c r="J485" s="698" t="s">
        <v>1350</v>
      </c>
      <c r="K485" s="698" t="s">
        <v>702</v>
      </c>
      <c r="L485" s="701">
        <v>88.563333333333318</v>
      </c>
      <c r="M485" s="701">
        <v>6</v>
      </c>
      <c r="N485" s="702">
        <v>531.37999999999988</v>
      </c>
    </row>
    <row r="486" spans="1:14" ht="14.4" customHeight="1" x14ac:dyDescent="0.3">
      <c r="A486" s="696" t="s">
        <v>505</v>
      </c>
      <c r="B486" s="697" t="s">
        <v>506</v>
      </c>
      <c r="C486" s="698" t="s">
        <v>519</v>
      </c>
      <c r="D486" s="699" t="s">
        <v>520</v>
      </c>
      <c r="E486" s="700">
        <v>50113013</v>
      </c>
      <c r="F486" s="699" t="s">
        <v>1309</v>
      </c>
      <c r="G486" s="698" t="s">
        <v>525</v>
      </c>
      <c r="H486" s="698">
        <v>101066</v>
      </c>
      <c r="I486" s="698">
        <v>1066</v>
      </c>
      <c r="J486" s="698" t="s">
        <v>1351</v>
      </c>
      <c r="K486" s="698" t="s">
        <v>1352</v>
      </c>
      <c r="L486" s="701">
        <v>56.158125000000005</v>
      </c>
      <c r="M486" s="701">
        <v>64</v>
      </c>
      <c r="N486" s="702">
        <v>3594.1200000000003</v>
      </c>
    </row>
    <row r="487" spans="1:14" ht="14.4" customHeight="1" x14ac:dyDescent="0.3">
      <c r="A487" s="696" t="s">
        <v>505</v>
      </c>
      <c r="B487" s="697" t="s">
        <v>506</v>
      </c>
      <c r="C487" s="698" t="s">
        <v>519</v>
      </c>
      <c r="D487" s="699" t="s">
        <v>520</v>
      </c>
      <c r="E487" s="700">
        <v>50113013</v>
      </c>
      <c r="F487" s="699" t="s">
        <v>1309</v>
      </c>
      <c r="G487" s="698" t="s">
        <v>525</v>
      </c>
      <c r="H487" s="698">
        <v>207280</v>
      </c>
      <c r="I487" s="698">
        <v>207280</v>
      </c>
      <c r="J487" s="698" t="s">
        <v>1353</v>
      </c>
      <c r="K487" s="698" t="s">
        <v>596</v>
      </c>
      <c r="L487" s="701">
        <v>129.97999999999993</v>
      </c>
      <c r="M487" s="701">
        <v>1</v>
      </c>
      <c r="N487" s="702">
        <v>129.97999999999993</v>
      </c>
    </row>
    <row r="488" spans="1:14" ht="14.4" customHeight="1" x14ac:dyDescent="0.3">
      <c r="A488" s="696" t="s">
        <v>505</v>
      </c>
      <c r="B488" s="697" t="s">
        <v>506</v>
      </c>
      <c r="C488" s="698" t="s">
        <v>519</v>
      </c>
      <c r="D488" s="699" t="s">
        <v>520</v>
      </c>
      <c r="E488" s="700">
        <v>50113013</v>
      </c>
      <c r="F488" s="699" t="s">
        <v>1309</v>
      </c>
      <c r="G488" s="698" t="s">
        <v>525</v>
      </c>
      <c r="H488" s="698">
        <v>394618</v>
      </c>
      <c r="I488" s="698">
        <v>112786</v>
      </c>
      <c r="J488" s="698" t="s">
        <v>1354</v>
      </c>
      <c r="K488" s="698" t="s">
        <v>1355</v>
      </c>
      <c r="L488" s="701">
        <v>311.75488461538464</v>
      </c>
      <c r="M488" s="701">
        <v>5.2</v>
      </c>
      <c r="N488" s="702">
        <v>1621.1254000000001</v>
      </c>
    </row>
    <row r="489" spans="1:14" ht="14.4" customHeight="1" x14ac:dyDescent="0.3">
      <c r="A489" s="696" t="s">
        <v>505</v>
      </c>
      <c r="B489" s="697" t="s">
        <v>506</v>
      </c>
      <c r="C489" s="698" t="s">
        <v>519</v>
      </c>
      <c r="D489" s="699" t="s">
        <v>520</v>
      </c>
      <c r="E489" s="700">
        <v>50113013</v>
      </c>
      <c r="F489" s="699" t="s">
        <v>1309</v>
      </c>
      <c r="G489" s="698" t="s">
        <v>525</v>
      </c>
      <c r="H489" s="698">
        <v>847476</v>
      </c>
      <c r="I489" s="698">
        <v>112782</v>
      </c>
      <c r="J489" s="698" t="s">
        <v>1356</v>
      </c>
      <c r="K489" s="698" t="s">
        <v>1357</v>
      </c>
      <c r="L489" s="701">
        <v>673.07282535885224</v>
      </c>
      <c r="M489" s="701">
        <v>20.899999999999995</v>
      </c>
      <c r="N489" s="702">
        <v>14067.222050000009</v>
      </c>
    </row>
    <row r="490" spans="1:14" ht="14.4" customHeight="1" x14ac:dyDescent="0.3">
      <c r="A490" s="696" t="s">
        <v>505</v>
      </c>
      <c r="B490" s="697" t="s">
        <v>506</v>
      </c>
      <c r="C490" s="698" t="s">
        <v>519</v>
      </c>
      <c r="D490" s="699" t="s">
        <v>520</v>
      </c>
      <c r="E490" s="700">
        <v>50113013</v>
      </c>
      <c r="F490" s="699" t="s">
        <v>1309</v>
      </c>
      <c r="G490" s="698" t="s">
        <v>525</v>
      </c>
      <c r="H490" s="698">
        <v>96414</v>
      </c>
      <c r="I490" s="698">
        <v>96414</v>
      </c>
      <c r="J490" s="698" t="s">
        <v>1358</v>
      </c>
      <c r="K490" s="698" t="s">
        <v>1359</v>
      </c>
      <c r="L490" s="701">
        <v>58.743492063492056</v>
      </c>
      <c r="M490" s="701">
        <v>6.3</v>
      </c>
      <c r="N490" s="702">
        <v>370.08399999999995</v>
      </c>
    </row>
    <row r="491" spans="1:14" ht="14.4" customHeight="1" x14ac:dyDescent="0.3">
      <c r="A491" s="696" t="s">
        <v>505</v>
      </c>
      <c r="B491" s="697" t="s">
        <v>506</v>
      </c>
      <c r="C491" s="698" t="s">
        <v>519</v>
      </c>
      <c r="D491" s="699" t="s">
        <v>520</v>
      </c>
      <c r="E491" s="700">
        <v>50113013</v>
      </c>
      <c r="F491" s="699" t="s">
        <v>1309</v>
      </c>
      <c r="G491" s="698" t="s">
        <v>525</v>
      </c>
      <c r="H491" s="698">
        <v>216183</v>
      </c>
      <c r="I491" s="698">
        <v>216183</v>
      </c>
      <c r="J491" s="698" t="s">
        <v>1360</v>
      </c>
      <c r="K491" s="698" t="s">
        <v>1361</v>
      </c>
      <c r="L491" s="701">
        <v>250.27919999999997</v>
      </c>
      <c r="M491" s="701">
        <v>100</v>
      </c>
      <c r="N491" s="702">
        <v>25027.919999999998</v>
      </c>
    </row>
    <row r="492" spans="1:14" ht="14.4" customHeight="1" x14ac:dyDescent="0.3">
      <c r="A492" s="696" t="s">
        <v>505</v>
      </c>
      <c r="B492" s="697" t="s">
        <v>506</v>
      </c>
      <c r="C492" s="698" t="s">
        <v>519</v>
      </c>
      <c r="D492" s="699" t="s">
        <v>520</v>
      </c>
      <c r="E492" s="700">
        <v>50113013</v>
      </c>
      <c r="F492" s="699" t="s">
        <v>1309</v>
      </c>
      <c r="G492" s="698" t="s">
        <v>507</v>
      </c>
      <c r="H492" s="698">
        <v>131290</v>
      </c>
      <c r="I492" s="698">
        <v>131290</v>
      </c>
      <c r="J492" s="698" t="s">
        <v>1362</v>
      </c>
      <c r="K492" s="698" t="s">
        <v>1363</v>
      </c>
      <c r="L492" s="701">
        <v>359.16999999999996</v>
      </c>
      <c r="M492" s="701">
        <v>13</v>
      </c>
      <c r="N492" s="702">
        <v>4669.2099999999991</v>
      </c>
    </row>
    <row r="493" spans="1:14" ht="14.4" customHeight="1" x14ac:dyDescent="0.3">
      <c r="A493" s="696" t="s">
        <v>505</v>
      </c>
      <c r="B493" s="697" t="s">
        <v>506</v>
      </c>
      <c r="C493" s="698" t="s">
        <v>519</v>
      </c>
      <c r="D493" s="699" t="s">
        <v>520</v>
      </c>
      <c r="E493" s="700">
        <v>50113013</v>
      </c>
      <c r="F493" s="699" t="s">
        <v>1309</v>
      </c>
      <c r="G493" s="698" t="s">
        <v>525</v>
      </c>
      <c r="H493" s="698">
        <v>187199</v>
      </c>
      <c r="I493" s="698">
        <v>87199</v>
      </c>
      <c r="J493" s="698" t="s">
        <v>1364</v>
      </c>
      <c r="K493" s="698" t="s">
        <v>1365</v>
      </c>
      <c r="L493" s="701">
        <v>220.98999999999992</v>
      </c>
      <c r="M493" s="701">
        <v>83</v>
      </c>
      <c r="N493" s="702">
        <v>18342.169999999995</v>
      </c>
    </row>
    <row r="494" spans="1:14" ht="14.4" customHeight="1" x14ac:dyDescent="0.3">
      <c r="A494" s="696" t="s">
        <v>505</v>
      </c>
      <c r="B494" s="697" t="s">
        <v>506</v>
      </c>
      <c r="C494" s="698" t="s">
        <v>519</v>
      </c>
      <c r="D494" s="699" t="s">
        <v>520</v>
      </c>
      <c r="E494" s="700">
        <v>50113013</v>
      </c>
      <c r="F494" s="699" t="s">
        <v>1309</v>
      </c>
      <c r="G494" s="698" t="s">
        <v>507</v>
      </c>
      <c r="H494" s="698">
        <v>156835</v>
      </c>
      <c r="I494" s="698">
        <v>156835</v>
      </c>
      <c r="J494" s="698" t="s">
        <v>1366</v>
      </c>
      <c r="K494" s="698" t="s">
        <v>1367</v>
      </c>
      <c r="L494" s="701">
        <v>1116.5</v>
      </c>
      <c r="M494" s="701">
        <v>1</v>
      </c>
      <c r="N494" s="702">
        <v>1116.5</v>
      </c>
    </row>
    <row r="495" spans="1:14" ht="14.4" customHeight="1" x14ac:dyDescent="0.3">
      <c r="A495" s="696" t="s">
        <v>505</v>
      </c>
      <c r="B495" s="697" t="s">
        <v>506</v>
      </c>
      <c r="C495" s="698" t="s">
        <v>519</v>
      </c>
      <c r="D495" s="699" t="s">
        <v>520</v>
      </c>
      <c r="E495" s="700">
        <v>50113013</v>
      </c>
      <c r="F495" s="699" t="s">
        <v>1309</v>
      </c>
      <c r="G495" s="698" t="s">
        <v>546</v>
      </c>
      <c r="H495" s="698">
        <v>111592</v>
      </c>
      <c r="I495" s="698">
        <v>11592</v>
      </c>
      <c r="J495" s="698" t="s">
        <v>1368</v>
      </c>
      <c r="K495" s="698" t="s">
        <v>1369</v>
      </c>
      <c r="L495" s="701">
        <v>381.22984379674762</v>
      </c>
      <c r="M495" s="701">
        <v>237.69999999999993</v>
      </c>
      <c r="N495" s="702">
        <v>90618.33387048688</v>
      </c>
    </row>
    <row r="496" spans="1:14" ht="14.4" customHeight="1" x14ac:dyDescent="0.3">
      <c r="A496" s="696" t="s">
        <v>505</v>
      </c>
      <c r="B496" s="697" t="s">
        <v>506</v>
      </c>
      <c r="C496" s="698" t="s">
        <v>519</v>
      </c>
      <c r="D496" s="699" t="s">
        <v>520</v>
      </c>
      <c r="E496" s="700">
        <v>50113013</v>
      </c>
      <c r="F496" s="699" t="s">
        <v>1309</v>
      </c>
      <c r="G496" s="698" t="s">
        <v>546</v>
      </c>
      <c r="H496" s="698">
        <v>197000</v>
      </c>
      <c r="I496" s="698">
        <v>97000</v>
      </c>
      <c r="J496" s="698" t="s">
        <v>1370</v>
      </c>
      <c r="K496" s="698" t="s">
        <v>1371</v>
      </c>
      <c r="L496" s="701">
        <v>18.959999999999997</v>
      </c>
      <c r="M496" s="701">
        <v>95</v>
      </c>
      <c r="N496" s="702">
        <v>1801.1999999999998</v>
      </c>
    </row>
    <row r="497" spans="1:14" ht="14.4" customHeight="1" x14ac:dyDescent="0.3">
      <c r="A497" s="696" t="s">
        <v>505</v>
      </c>
      <c r="B497" s="697" t="s">
        <v>506</v>
      </c>
      <c r="C497" s="698" t="s">
        <v>519</v>
      </c>
      <c r="D497" s="699" t="s">
        <v>520</v>
      </c>
      <c r="E497" s="700">
        <v>50113013</v>
      </c>
      <c r="F497" s="699" t="s">
        <v>1309</v>
      </c>
      <c r="G497" s="698" t="s">
        <v>525</v>
      </c>
      <c r="H497" s="698">
        <v>207116</v>
      </c>
      <c r="I497" s="698">
        <v>207116</v>
      </c>
      <c r="J497" s="698" t="s">
        <v>1372</v>
      </c>
      <c r="K497" s="698" t="s">
        <v>1373</v>
      </c>
      <c r="L497" s="701">
        <v>419.52</v>
      </c>
      <c r="M497" s="701">
        <v>0.4</v>
      </c>
      <c r="N497" s="702">
        <v>167.80799999999999</v>
      </c>
    </row>
    <row r="498" spans="1:14" ht="14.4" customHeight="1" x14ac:dyDescent="0.3">
      <c r="A498" s="696" t="s">
        <v>505</v>
      </c>
      <c r="B498" s="697" t="s">
        <v>506</v>
      </c>
      <c r="C498" s="698" t="s">
        <v>519</v>
      </c>
      <c r="D498" s="699" t="s">
        <v>520</v>
      </c>
      <c r="E498" s="700">
        <v>50113013</v>
      </c>
      <c r="F498" s="699" t="s">
        <v>1309</v>
      </c>
      <c r="G498" s="698" t="s">
        <v>525</v>
      </c>
      <c r="H498" s="698">
        <v>101076</v>
      </c>
      <c r="I498" s="698">
        <v>1076</v>
      </c>
      <c r="J498" s="698" t="s">
        <v>1374</v>
      </c>
      <c r="K498" s="698" t="s">
        <v>1027</v>
      </c>
      <c r="L498" s="701">
        <v>78.430000000000007</v>
      </c>
      <c r="M498" s="701">
        <v>20</v>
      </c>
      <c r="N498" s="702">
        <v>1568.6000000000001</v>
      </c>
    </row>
    <row r="499" spans="1:14" ht="14.4" customHeight="1" x14ac:dyDescent="0.3">
      <c r="A499" s="696" t="s">
        <v>505</v>
      </c>
      <c r="B499" s="697" t="s">
        <v>506</v>
      </c>
      <c r="C499" s="698" t="s">
        <v>519</v>
      </c>
      <c r="D499" s="699" t="s">
        <v>520</v>
      </c>
      <c r="E499" s="700">
        <v>50113013</v>
      </c>
      <c r="F499" s="699" t="s">
        <v>1309</v>
      </c>
      <c r="G499" s="698" t="s">
        <v>525</v>
      </c>
      <c r="H499" s="698">
        <v>201970</v>
      </c>
      <c r="I499" s="698">
        <v>201970</v>
      </c>
      <c r="J499" s="698" t="s">
        <v>1375</v>
      </c>
      <c r="K499" s="698" t="s">
        <v>1376</v>
      </c>
      <c r="L499" s="701">
        <v>72.179999999999978</v>
      </c>
      <c r="M499" s="701">
        <v>1</v>
      </c>
      <c r="N499" s="702">
        <v>72.179999999999978</v>
      </c>
    </row>
    <row r="500" spans="1:14" ht="14.4" customHeight="1" x14ac:dyDescent="0.3">
      <c r="A500" s="696" t="s">
        <v>505</v>
      </c>
      <c r="B500" s="697" t="s">
        <v>506</v>
      </c>
      <c r="C500" s="698" t="s">
        <v>519</v>
      </c>
      <c r="D500" s="699" t="s">
        <v>520</v>
      </c>
      <c r="E500" s="700">
        <v>50113013</v>
      </c>
      <c r="F500" s="699" t="s">
        <v>1309</v>
      </c>
      <c r="G500" s="698" t="s">
        <v>546</v>
      </c>
      <c r="H500" s="698">
        <v>113453</v>
      </c>
      <c r="I500" s="698">
        <v>113453</v>
      </c>
      <c r="J500" s="698" t="s">
        <v>1377</v>
      </c>
      <c r="K500" s="698" t="s">
        <v>1378</v>
      </c>
      <c r="L500" s="701">
        <v>458.69999999999879</v>
      </c>
      <c r="M500" s="701">
        <v>150.20000000000002</v>
      </c>
      <c r="N500" s="702">
        <v>68896.739999999831</v>
      </c>
    </row>
    <row r="501" spans="1:14" ht="14.4" customHeight="1" x14ac:dyDescent="0.3">
      <c r="A501" s="696" t="s">
        <v>505</v>
      </c>
      <c r="B501" s="697" t="s">
        <v>506</v>
      </c>
      <c r="C501" s="698" t="s">
        <v>519</v>
      </c>
      <c r="D501" s="699" t="s">
        <v>520</v>
      </c>
      <c r="E501" s="700">
        <v>50113013</v>
      </c>
      <c r="F501" s="699" t="s">
        <v>1309</v>
      </c>
      <c r="G501" s="698" t="s">
        <v>507</v>
      </c>
      <c r="H501" s="698">
        <v>141263</v>
      </c>
      <c r="I501" s="698">
        <v>141263</v>
      </c>
      <c r="J501" s="698" t="s">
        <v>1379</v>
      </c>
      <c r="K501" s="698" t="s">
        <v>1380</v>
      </c>
      <c r="L501" s="701">
        <v>160.57817610062887</v>
      </c>
      <c r="M501" s="701">
        <v>636</v>
      </c>
      <c r="N501" s="702">
        <v>102127.71999999996</v>
      </c>
    </row>
    <row r="502" spans="1:14" ht="14.4" customHeight="1" x14ac:dyDescent="0.3">
      <c r="A502" s="696" t="s">
        <v>505</v>
      </c>
      <c r="B502" s="697" t="s">
        <v>506</v>
      </c>
      <c r="C502" s="698" t="s">
        <v>519</v>
      </c>
      <c r="D502" s="699" t="s">
        <v>520</v>
      </c>
      <c r="E502" s="700">
        <v>50113013</v>
      </c>
      <c r="F502" s="699" t="s">
        <v>1309</v>
      </c>
      <c r="G502" s="698" t="s">
        <v>525</v>
      </c>
      <c r="H502" s="698">
        <v>192359</v>
      </c>
      <c r="I502" s="698">
        <v>92359</v>
      </c>
      <c r="J502" s="698" t="s">
        <v>1381</v>
      </c>
      <c r="K502" s="698" t="s">
        <v>1382</v>
      </c>
      <c r="L502" s="701">
        <v>43.6815</v>
      </c>
      <c r="M502" s="701">
        <v>60</v>
      </c>
      <c r="N502" s="702">
        <v>2620.89</v>
      </c>
    </row>
    <row r="503" spans="1:14" ht="14.4" customHeight="1" x14ac:dyDescent="0.3">
      <c r="A503" s="696" t="s">
        <v>505</v>
      </c>
      <c r="B503" s="697" t="s">
        <v>506</v>
      </c>
      <c r="C503" s="698" t="s">
        <v>519</v>
      </c>
      <c r="D503" s="699" t="s">
        <v>520</v>
      </c>
      <c r="E503" s="700">
        <v>50113013</v>
      </c>
      <c r="F503" s="699" t="s">
        <v>1309</v>
      </c>
      <c r="G503" s="698" t="s">
        <v>507</v>
      </c>
      <c r="H503" s="698">
        <v>201030</v>
      </c>
      <c r="I503" s="698">
        <v>201030</v>
      </c>
      <c r="J503" s="698" t="s">
        <v>1383</v>
      </c>
      <c r="K503" s="698" t="s">
        <v>1151</v>
      </c>
      <c r="L503" s="701">
        <v>26.61</v>
      </c>
      <c r="M503" s="701">
        <v>142</v>
      </c>
      <c r="N503" s="702">
        <v>3778.62</v>
      </c>
    </row>
    <row r="504" spans="1:14" ht="14.4" customHeight="1" x14ac:dyDescent="0.3">
      <c r="A504" s="696" t="s">
        <v>505</v>
      </c>
      <c r="B504" s="697" t="s">
        <v>506</v>
      </c>
      <c r="C504" s="698" t="s">
        <v>519</v>
      </c>
      <c r="D504" s="699" t="s">
        <v>520</v>
      </c>
      <c r="E504" s="700">
        <v>50113013</v>
      </c>
      <c r="F504" s="699" t="s">
        <v>1309</v>
      </c>
      <c r="G504" s="698" t="s">
        <v>525</v>
      </c>
      <c r="H504" s="698">
        <v>106264</v>
      </c>
      <c r="I504" s="698">
        <v>6264</v>
      </c>
      <c r="J504" s="698" t="s">
        <v>1384</v>
      </c>
      <c r="K504" s="698" t="s">
        <v>1385</v>
      </c>
      <c r="L504" s="701">
        <v>31.6223076923077</v>
      </c>
      <c r="M504" s="701">
        <v>13</v>
      </c>
      <c r="N504" s="702">
        <v>411.09000000000009</v>
      </c>
    </row>
    <row r="505" spans="1:14" ht="14.4" customHeight="1" x14ac:dyDescent="0.3">
      <c r="A505" s="696" t="s">
        <v>505</v>
      </c>
      <c r="B505" s="697" t="s">
        <v>506</v>
      </c>
      <c r="C505" s="698" t="s">
        <v>519</v>
      </c>
      <c r="D505" s="699" t="s">
        <v>520</v>
      </c>
      <c r="E505" s="700">
        <v>50113013</v>
      </c>
      <c r="F505" s="699" t="s">
        <v>1309</v>
      </c>
      <c r="G505" s="698" t="s">
        <v>525</v>
      </c>
      <c r="H505" s="698">
        <v>847759</v>
      </c>
      <c r="I505" s="698">
        <v>142077</v>
      </c>
      <c r="J505" s="698" t="s">
        <v>1386</v>
      </c>
      <c r="K505" s="698" t="s">
        <v>1387</v>
      </c>
      <c r="L505" s="701">
        <v>2151.0575294117643</v>
      </c>
      <c r="M505" s="701">
        <v>34</v>
      </c>
      <c r="N505" s="702">
        <v>73135.955999999991</v>
      </c>
    </row>
    <row r="506" spans="1:14" ht="14.4" customHeight="1" x14ac:dyDescent="0.3">
      <c r="A506" s="696" t="s">
        <v>505</v>
      </c>
      <c r="B506" s="697" t="s">
        <v>506</v>
      </c>
      <c r="C506" s="698" t="s">
        <v>519</v>
      </c>
      <c r="D506" s="699" t="s">
        <v>520</v>
      </c>
      <c r="E506" s="700">
        <v>50113013</v>
      </c>
      <c r="F506" s="699" t="s">
        <v>1309</v>
      </c>
      <c r="G506" s="698" t="s">
        <v>525</v>
      </c>
      <c r="H506" s="698">
        <v>225175</v>
      </c>
      <c r="I506" s="698">
        <v>225175</v>
      </c>
      <c r="J506" s="698" t="s">
        <v>1388</v>
      </c>
      <c r="K506" s="698" t="s">
        <v>1389</v>
      </c>
      <c r="L506" s="701">
        <v>45.61</v>
      </c>
      <c r="M506" s="701">
        <v>2</v>
      </c>
      <c r="N506" s="702">
        <v>91.22</v>
      </c>
    </row>
    <row r="507" spans="1:14" ht="14.4" customHeight="1" x14ac:dyDescent="0.3">
      <c r="A507" s="696" t="s">
        <v>505</v>
      </c>
      <c r="B507" s="697" t="s">
        <v>506</v>
      </c>
      <c r="C507" s="698" t="s">
        <v>519</v>
      </c>
      <c r="D507" s="699" t="s">
        <v>520</v>
      </c>
      <c r="E507" s="700">
        <v>50113013</v>
      </c>
      <c r="F507" s="699" t="s">
        <v>1309</v>
      </c>
      <c r="G507" s="698" t="s">
        <v>546</v>
      </c>
      <c r="H507" s="698">
        <v>126127</v>
      </c>
      <c r="I507" s="698">
        <v>26127</v>
      </c>
      <c r="J507" s="698" t="s">
        <v>1390</v>
      </c>
      <c r="K507" s="698" t="s">
        <v>1391</v>
      </c>
      <c r="L507" s="701">
        <v>10254.080704225351</v>
      </c>
      <c r="M507" s="701">
        <v>85.199999999999989</v>
      </c>
      <c r="N507" s="702">
        <v>873647.67599999974</v>
      </c>
    </row>
    <row r="508" spans="1:14" ht="14.4" customHeight="1" x14ac:dyDescent="0.3">
      <c r="A508" s="696" t="s">
        <v>505</v>
      </c>
      <c r="B508" s="697" t="s">
        <v>506</v>
      </c>
      <c r="C508" s="698" t="s">
        <v>519</v>
      </c>
      <c r="D508" s="699" t="s">
        <v>520</v>
      </c>
      <c r="E508" s="700">
        <v>50113013</v>
      </c>
      <c r="F508" s="699" t="s">
        <v>1309</v>
      </c>
      <c r="G508" s="698" t="s">
        <v>525</v>
      </c>
      <c r="H508" s="698">
        <v>116600</v>
      </c>
      <c r="I508" s="698">
        <v>16600</v>
      </c>
      <c r="J508" s="698" t="s">
        <v>1392</v>
      </c>
      <c r="K508" s="698" t="s">
        <v>1393</v>
      </c>
      <c r="L508" s="701">
        <v>25.278546255506601</v>
      </c>
      <c r="M508" s="701">
        <v>681</v>
      </c>
      <c r="N508" s="702">
        <v>17214.689999999995</v>
      </c>
    </row>
    <row r="509" spans="1:14" ht="14.4" customHeight="1" x14ac:dyDescent="0.3">
      <c r="A509" s="696" t="s">
        <v>505</v>
      </c>
      <c r="B509" s="697" t="s">
        <v>506</v>
      </c>
      <c r="C509" s="698" t="s">
        <v>519</v>
      </c>
      <c r="D509" s="699" t="s">
        <v>520</v>
      </c>
      <c r="E509" s="700">
        <v>50113013</v>
      </c>
      <c r="F509" s="699" t="s">
        <v>1309</v>
      </c>
      <c r="G509" s="698" t="s">
        <v>546</v>
      </c>
      <c r="H509" s="698">
        <v>166269</v>
      </c>
      <c r="I509" s="698">
        <v>166269</v>
      </c>
      <c r="J509" s="698" t="s">
        <v>1394</v>
      </c>
      <c r="K509" s="698" t="s">
        <v>1395</v>
      </c>
      <c r="L509" s="701">
        <v>52.879999999999981</v>
      </c>
      <c r="M509" s="701">
        <v>272</v>
      </c>
      <c r="N509" s="702">
        <v>14383.359999999995</v>
      </c>
    </row>
    <row r="510" spans="1:14" ht="14.4" customHeight="1" x14ac:dyDescent="0.3">
      <c r="A510" s="696" t="s">
        <v>505</v>
      </c>
      <c r="B510" s="697" t="s">
        <v>506</v>
      </c>
      <c r="C510" s="698" t="s">
        <v>519</v>
      </c>
      <c r="D510" s="699" t="s">
        <v>520</v>
      </c>
      <c r="E510" s="700">
        <v>50113013</v>
      </c>
      <c r="F510" s="699" t="s">
        <v>1309</v>
      </c>
      <c r="G510" s="698" t="s">
        <v>546</v>
      </c>
      <c r="H510" s="698">
        <v>166265</v>
      </c>
      <c r="I510" s="698">
        <v>166265</v>
      </c>
      <c r="J510" s="698" t="s">
        <v>1396</v>
      </c>
      <c r="K510" s="698" t="s">
        <v>1361</v>
      </c>
      <c r="L510" s="701">
        <v>33.39</v>
      </c>
      <c r="M510" s="701">
        <v>40</v>
      </c>
      <c r="N510" s="702">
        <v>1335.6000000000001</v>
      </c>
    </row>
    <row r="511" spans="1:14" ht="14.4" customHeight="1" x14ac:dyDescent="0.3">
      <c r="A511" s="696" t="s">
        <v>505</v>
      </c>
      <c r="B511" s="697" t="s">
        <v>506</v>
      </c>
      <c r="C511" s="698" t="s">
        <v>519</v>
      </c>
      <c r="D511" s="699" t="s">
        <v>520</v>
      </c>
      <c r="E511" s="700">
        <v>50113013</v>
      </c>
      <c r="F511" s="699" t="s">
        <v>1309</v>
      </c>
      <c r="G511" s="698" t="s">
        <v>525</v>
      </c>
      <c r="H511" s="698">
        <v>201967</v>
      </c>
      <c r="I511" s="698">
        <v>201967</v>
      </c>
      <c r="J511" s="698" t="s">
        <v>1397</v>
      </c>
      <c r="K511" s="698" t="s">
        <v>1334</v>
      </c>
      <c r="L511" s="701">
        <v>291.47000000000003</v>
      </c>
      <c r="M511" s="701">
        <v>4.1999999999999993</v>
      </c>
      <c r="N511" s="702">
        <v>1224.174</v>
      </c>
    </row>
    <row r="512" spans="1:14" ht="14.4" customHeight="1" x14ac:dyDescent="0.3">
      <c r="A512" s="696" t="s">
        <v>505</v>
      </c>
      <c r="B512" s="697" t="s">
        <v>506</v>
      </c>
      <c r="C512" s="698" t="s">
        <v>519</v>
      </c>
      <c r="D512" s="699" t="s">
        <v>520</v>
      </c>
      <c r="E512" s="700">
        <v>50113013</v>
      </c>
      <c r="F512" s="699" t="s">
        <v>1309</v>
      </c>
      <c r="G512" s="698" t="s">
        <v>525</v>
      </c>
      <c r="H512" s="698">
        <v>210993</v>
      </c>
      <c r="I512" s="698">
        <v>210993</v>
      </c>
      <c r="J512" s="698" t="s">
        <v>1398</v>
      </c>
      <c r="K512" s="698" t="s">
        <v>1399</v>
      </c>
      <c r="L512" s="701">
        <v>21994.239999999998</v>
      </c>
      <c r="M512" s="701">
        <v>4</v>
      </c>
      <c r="N512" s="702">
        <v>87976.959999999992</v>
      </c>
    </row>
    <row r="513" spans="1:14" ht="14.4" customHeight="1" x14ac:dyDescent="0.3">
      <c r="A513" s="696" t="s">
        <v>505</v>
      </c>
      <c r="B513" s="697" t="s">
        <v>506</v>
      </c>
      <c r="C513" s="698" t="s">
        <v>519</v>
      </c>
      <c r="D513" s="699" t="s">
        <v>520</v>
      </c>
      <c r="E513" s="700">
        <v>50113013</v>
      </c>
      <c r="F513" s="699" t="s">
        <v>1309</v>
      </c>
      <c r="G513" s="698" t="s">
        <v>546</v>
      </c>
      <c r="H513" s="698">
        <v>103708</v>
      </c>
      <c r="I513" s="698">
        <v>3708</v>
      </c>
      <c r="J513" s="698" t="s">
        <v>1400</v>
      </c>
      <c r="K513" s="698" t="s">
        <v>1401</v>
      </c>
      <c r="L513" s="701">
        <v>1122.213</v>
      </c>
      <c r="M513" s="701">
        <v>7</v>
      </c>
      <c r="N513" s="702">
        <v>7855.491</v>
      </c>
    </row>
    <row r="514" spans="1:14" ht="14.4" customHeight="1" x14ac:dyDescent="0.3">
      <c r="A514" s="696" t="s">
        <v>505</v>
      </c>
      <c r="B514" s="697" t="s">
        <v>506</v>
      </c>
      <c r="C514" s="698" t="s">
        <v>519</v>
      </c>
      <c r="D514" s="699" t="s">
        <v>520</v>
      </c>
      <c r="E514" s="700">
        <v>50113014</v>
      </c>
      <c r="F514" s="699" t="s">
        <v>1402</v>
      </c>
      <c r="G514" s="698" t="s">
        <v>525</v>
      </c>
      <c r="H514" s="698">
        <v>186397</v>
      </c>
      <c r="I514" s="698">
        <v>86397</v>
      </c>
      <c r="J514" s="698" t="s">
        <v>1403</v>
      </c>
      <c r="K514" s="698" t="s">
        <v>1404</v>
      </c>
      <c r="L514" s="701">
        <v>93.32</v>
      </c>
      <c r="M514" s="701">
        <v>1</v>
      </c>
      <c r="N514" s="702">
        <v>93.32</v>
      </c>
    </row>
    <row r="515" spans="1:14" ht="14.4" customHeight="1" x14ac:dyDescent="0.3">
      <c r="A515" s="696" t="s">
        <v>505</v>
      </c>
      <c r="B515" s="697" t="s">
        <v>506</v>
      </c>
      <c r="C515" s="698" t="s">
        <v>519</v>
      </c>
      <c r="D515" s="699" t="s">
        <v>520</v>
      </c>
      <c r="E515" s="700">
        <v>50113014</v>
      </c>
      <c r="F515" s="699" t="s">
        <v>1402</v>
      </c>
      <c r="G515" s="698" t="s">
        <v>546</v>
      </c>
      <c r="H515" s="698">
        <v>64942</v>
      </c>
      <c r="I515" s="698">
        <v>64942</v>
      </c>
      <c r="J515" s="698" t="s">
        <v>1405</v>
      </c>
      <c r="K515" s="698" t="s">
        <v>1406</v>
      </c>
      <c r="L515" s="701">
        <v>2113.7500000000005</v>
      </c>
      <c r="M515" s="701">
        <v>1</v>
      </c>
      <c r="N515" s="702">
        <v>2113.7500000000005</v>
      </c>
    </row>
    <row r="516" spans="1:14" ht="14.4" customHeight="1" x14ac:dyDescent="0.3">
      <c r="A516" s="696" t="s">
        <v>505</v>
      </c>
      <c r="B516" s="697" t="s">
        <v>506</v>
      </c>
      <c r="C516" s="698" t="s">
        <v>519</v>
      </c>
      <c r="D516" s="699" t="s">
        <v>520</v>
      </c>
      <c r="E516" s="700">
        <v>50113014</v>
      </c>
      <c r="F516" s="699" t="s">
        <v>1402</v>
      </c>
      <c r="G516" s="698" t="s">
        <v>546</v>
      </c>
      <c r="H516" s="698">
        <v>850734</v>
      </c>
      <c r="I516" s="698">
        <v>149384</v>
      </c>
      <c r="J516" s="698" t="s">
        <v>1407</v>
      </c>
      <c r="K516" s="698" t="s">
        <v>1408</v>
      </c>
      <c r="L516" s="701">
        <v>1654.46</v>
      </c>
      <c r="M516" s="701">
        <v>65</v>
      </c>
      <c r="N516" s="702">
        <v>107539.90000000001</v>
      </c>
    </row>
    <row r="517" spans="1:14" ht="14.4" customHeight="1" x14ac:dyDescent="0.3">
      <c r="A517" s="696" t="s">
        <v>505</v>
      </c>
      <c r="B517" s="697" t="s">
        <v>506</v>
      </c>
      <c r="C517" s="698" t="s">
        <v>519</v>
      </c>
      <c r="D517" s="699" t="s">
        <v>520</v>
      </c>
      <c r="E517" s="700">
        <v>50113014</v>
      </c>
      <c r="F517" s="699" t="s">
        <v>1402</v>
      </c>
      <c r="G517" s="698" t="s">
        <v>546</v>
      </c>
      <c r="H517" s="698">
        <v>164401</v>
      </c>
      <c r="I517" s="698">
        <v>164401</v>
      </c>
      <c r="J517" s="698" t="s">
        <v>1409</v>
      </c>
      <c r="K517" s="698" t="s">
        <v>1410</v>
      </c>
      <c r="L517" s="701">
        <v>148.50000000000003</v>
      </c>
      <c r="M517" s="701">
        <v>56.899999999999991</v>
      </c>
      <c r="N517" s="702">
        <v>8449.65</v>
      </c>
    </row>
    <row r="518" spans="1:14" ht="14.4" customHeight="1" x14ac:dyDescent="0.3">
      <c r="A518" s="696" t="s">
        <v>505</v>
      </c>
      <c r="B518" s="697" t="s">
        <v>506</v>
      </c>
      <c r="C518" s="698" t="s">
        <v>519</v>
      </c>
      <c r="D518" s="699" t="s">
        <v>520</v>
      </c>
      <c r="E518" s="700">
        <v>50113014</v>
      </c>
      <c r="F518" s="699" t="s">
        <v>1402</v>
      </c>
      <c r="G518" s="698" t="s">
        <v>546</v>
      </c>
      <c r="H518" s="698">
        <v>164407</v>
      </c>
      <c r="I518" s="698">
        <v>164407</v>
      </c>
      <c r="J518" s="698" t="s">
        <v>1409</v>
      </c>
      <c r="K518" s="698" t="s">
        <v>1411</v>
      </c>
      <c r="L518" s="701">
        <v>294.79999999999978</v>
      </c>
      <c r="M518" s="701">
        <v>46.4</v>
      </c>
      <c r="N518" s="702">
        <v>13678.71999999999</v>
      </c>
    </row>
    <row r="519" spans="1:14" ht="14.4" customHeight="1" x14ac:dyDescent="0.3">
      <c r="A519" s="696" t="s">
        <v>505</v>
      </c>
      <c r="B519" s="697" t="s">
        <v>506</v>
      </c>
      <c r="C519" s="698" t="s">
        <v>519</v>
      </c>
      <c r="D519" s="699" t="s">
        <v>520</v>
      </c>
      <c r="E519" s="700">
        <v>50113014</v>
      </c>
      <c r="F519" s="699" t="s">
        <v>1402</v>
      </c>
      <c r="G519" s="698" t="s">
        <v>525</v>
      </c>
      <c r="H519" s="698">
        <v>116896</v>
      </c>
      <c r="I519" s="698">
        <v>16896</v>
      </c>
      <c r="J519" s="698" t="s">
        <v>1412</v>
      </c>
      <c r="K519" s="698" t="s">
        <v>1413</v>
      </c>
      <c r="L519" s="701">
        <v>105.97</v>
      </c>
      <c r="M519" s="701">
        <v>5</v>
      </c>
      <c r="N519" s="702">
        <v>529.85</v>
      </c>
    </row>
    <row r="520" spans="1:14" ht="14.4" customHeight="1" x14ac:dyDescent="0.3">
      <c r="A520" s="696" t="s">
        <v>505</v>
      </c>
      <c r="B520" s="697" t="s">
        <v>506</v>
      </c>
      <c r="C520" s="698" t="s">
        <v>519</v>
      </c>
      <c r="D520" s="699" t="s">
        <v>520</v>
      </c>
      <c r="E520" s="700">
        <v>50113014</v>
      </c>
      <c r="F520" s="699" t="s">
        <v>1402</v>
      </c>
      <c r="G520" s="698" t="s">
        <v>525</v>
      </c>
      <c r="H520" s="698">
        <v>129428</v>
      </c>
      <c r="I520" s="698">
        <v>500720</v>
      </c>
      <c r="J520" s="698" t="s">
        <v>1414</v>
      </c>
      <c r="K520" s="698" t="s">
        <v>1415</v>
      </c>
      <c r="L520" s="701">
        <v>3630</v>
      </c>
      <c r="M520" s="701">
        <v>68</v>
      </c>
      <c r="N520" s="702">
        <v>246840</v>
      </c>
    </row>
    <row r="521" spans="1:14" ht="14.4" customHeight="1" x14ac:dyDescent="0.3">
      <c r="A521" s="696" t="s">
        <v>505</v>
      </c>
      <c r="B521" s="697" t="s">
        <v>506</v>
      </c>
      <c r="C521" s="698" t="s">
        <v>519</v>
      </c>
      <c r="D521" s="699" t="s">
        <v>520</v>
      </c>
      <c r="E521" s="700">
        <v>50113014</v>
      </c>
      <c r="F521" s="699" t="s">
        <v>1402</v>
      </c>
      <c r="G521" s="698" t="s">
        <v>546</v>
      </c>
      <c r="H521" s="698">
        <v>207309</v>
      </c>
      <c r="I521" s="698">
        <v>207309</v>
      </c>
      <c r="J521" s="698" t="s">
        <v>1416</v>
      </c>
      <c r="K521" s="698" t="s">
        <v>1417</v>
      </c>
      <c r="L521" s="701">
        <v>117.80999999999999</v>
      </c>
      <c r="M521" s="701">
        <v>149</v>
      </c>
      <c r="N521" s="702">
        <v>17553.689999999999</v>
      </c>
    </row>
    <row r="522" spans="1:14" ht="14.4" customHeight="1" thickBot="1" x14ac:dyDescent="0.35">
      <c r="A522" s="703" t="s">
        <v>505</v>
      </c>
      <c r="B522" s="704" t="s">
        <v>506</v>
      </c>
      <c r="C522" s="705" t="s">
        <v>519</v>
      </c>
      <c r="D522" s="706" t="s">
        <v>520</v>
      </c>
      <c r="E522" s="707">
        <v>50113014</v>
      </c>
      <c r="F522" s="706" t="s">
        <v>1402</v>
      </c>
      <c r="G522" s="705" t="s">
        <v>507</v>
      </c>
      <c r="H522" s="705">
        <v>205772</v>
      </c>
      <c r="I522" s="705">
        <v>205772</v>
      </c>
      <c r="J522" s="705" t="s">
        <v>1418</v>
      </c>
      <c r="K522" s="705" t="s">
        <v>1419</v>
      </c>
      <c r="L522" s="708">
        <v>331.34769230769234</v>
      </c>
      <c r="M522" s="708">
        <v>13</v>
      </c>
      <c r="N522" s="709">
        <v>4307.5200000000004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1" customWidth="1"/>
    <col min="2" max="2" width="10" style="310" customWidth="1"/>
    <col min="3" max="3" width="5.5546875" style="313" customWidth="1"/>
    <col min="4" max="4" width="10.88671875" style="310" customWidth="1"/>
    <col min="5" max="5" width="5.5546875" style="313" customWidth="1"/>
    <col min="6" max="6" width="10.88671875" style="310" customWidth="1"/>
    <col min="7" max="16384" width="8.88671875" style="231"/>
  </cols>
  <sheetData>
    <row r="1" spans="1:6" ht="37.200000000000003" customHeight="1" thickBot="1" x14ac:dyDescent="0.4">
      <c r="A1" s="520" t="s">
        <v>180</v>
      </c>
      <c r="B1" s="521"/>
      <c r="C1" s="521"/>
      <c r="D1" s="521"/>
      <c r="E1" s="521"/>
      <c r="F1" s="521"/>
    </row>
    <row r="2" spans="1:6" ht="14.4" customHeight="1" thickBot="1" x14ac:dyDescent="0.35">
      <c r="A2" s="348" t="s">
        <v>297</v>
      </c>
      <c r="B2" s="67"/>
      <c r="C2" s="68"/>
      <c r="D2" s="69"/>
      <c r="E2" s="68"/>
      <c r="F2" s="69"/>
    </row>
    <row r="3" spans="1:6" ht="14.4" customHeight="1" thickBot="1" x14ac:dyDescent="0.35">
      <c r="A3" s="190"/>
      <c r="B3" s="522" t="s">
        <v>143</v>
      </c>
      <c r="C3" s="523"/>
      <c r="D3" s="524" t="s">
        <v>142</v>
      </c>
      <c r="E3" s="523"/>
      <c r="F3" s="96" t="s">
        <v>3</v>
      </c>
    </row>
    <row r="4" spans="1:6" ht="14.4" customHeight="1" thickBot="1" x14ac:dyDescent="0.35">
      <c r="A4" s="710" t="s">
        <v>165</v>
      </c>
      <c r="B4" s="711" t="s">
        <v>14</v>
      </c>
      <c r="C4" s="712" t="s">
        <v>2</v>
      </c>
      <c r="D4" s="711" t="s">
        <v>14</v>
      </c>
      <c r="E4" s="712" t="s">
        <v>2</v>
      </c>
      <c r="F4" s="713" t="s">
        <v>14</v>
      </c>
    </row>
    <row r="5" spans="1:6" ht="14.4" customHeight="1" thickBot="1" x14ac:dyDescent="0.35">
      <c r="A5" s="721" t="s">
        <v>1420</v>
      </c>
      <c r="B5" s="687">
        <v>223813.72199999995</v>
      </c>
      <c r="C5" s="714">
        <v>8.6622775199574994E-2</v>
      </c>
      <c r="D5" s="687">
        <v>2359960.8278726307</v>
      </c>
      <c r="E5" s="714">
        <v>0.91337722480042494</v>
      </c>
      <c r="F5" s="688">
        <v>2583774.5498726307</v>
      </c>
    </row>
    <row r="6" spans="1:6" ht="14.4" customHeight="1" thickBot="1" x14ac:dyDescent="0.35">
      <c r="A6" s="717" t="s">
        <v>3</v>
      </c>
      <c r="B6" s="718">
        <v>223813.72199999995</v>
      </c>
      <c r="C6" s="719">
        <v>8.6622775199574994E-2</v>
      </c>
      <c r="D6" s="718">
        <v>2359960.8278726307</v>
      </c>
      <c r="E6" s="719">
        <v>0.91337722480042494</v>
      </c>
      <c r="F6" s="720">
        <v>2583774.5498726307</v>
      </c>
    </row>
    <row r="7" spans="1:6" ht="14.4" customHeight="1" thickBot="1" x14ac:dyDescent="0.35"/>
    <row r="8" spans="1:6" ht="14.4" customHeight="1" x14ac:dyDescent="0.3">
      <c r="A8" s="727" t="s">
        <v>1421</v>
      </c>
      <c r="B8" s="694"/>
      <c r="C8" s="715">
        <v>0</v>
      </c>
      <c r="D8" s="694">
        <v>48227.259999999995</v>
      </c>
      <c r="E8" s="715">
        <v>1</v>
      </c>
      <c r="F8" s="695">
        <v>48227.259999999995</v>
      </c>
    </row>
    <row r="9" spans="1:6" ht="14.4" customHeight="1" x14ac:dyDescent="0.3">
      <c r="A9" s="728" t="s">
        <v>1422</v>
      </c>
      <c r="B9" s="701"/>
      <c r="C9" s="723">
        <v>0</v>
      </c>
      <c r="D9" s="701">
        <v>5269.76</v>
      </c>
      <c r="E9" s="723">
        <v>1</v>
      </c>
      <c r="F9" s="702">
        <v>5269.76</v>
      </c>
    </row>
    <row r="10" spans="1:6" ht="14.4" customHeight="1" x14ac:dyDescent="0.3">
      <c r="A10" s="728" t="s">
        <v>1423</v>
      </c>
      <c r="B10" s="701"/>
      <c r="C10" s="723">
        <v>0</v>
      </c>
      <c r="D10" s="701">
        <v>103.76999999999998</v>
      </c>
      <c r="E10" s="723">
        <v>1</v>
      </c>
      <c r="F10" s="702">
        <v>103.76999999999998</v>
      </c>
    </row>
    <row r="11" spans="1:6" ht="14.4" customHeight="1" x14ac:dyDescent="0.3">
      <c r="A11" s="728" t="s">
        <v>1424</v>
      </c>
      <c r="B11" s="701">
        <v>115.34</v>
      </c>
      <c r="C11" s="723">
        <v>1</v>
      </c>
      <c r="D11" s="701"/>
      <c r="E11" s="723">
        <v>0</v>
      </c>
      <c r="F11" s="702">
        <v>115.34</v>
      </c>
    </row>
    <row r="12" spans="1:6" ht="14.4" customHeight="1" x14ac:dyDescent="0.3">
      <c r="A12" s="728" t="s">
        <v>1425</v>
      </c>
      <c r="B12" s="701"/>
      <c r="C12" s="723">
        <v>0</v>
      </c>
      <c r="D12" s="701">
        <v>137.53</v>
      </c>
      <c r="E12" s="723">
        <v>1</v>
      </c>
      <c r="F12" s="702">
        <v>137.53</v>
      </c>
    </row>
    <row r="13" spans="1:6" ht="14.4" customHeight="1" x14ac:dyDescent="0.3">
      <c r="A13" s="728" t="s">
        <v>1426</v>
      </c>
      <c r="B13" s="701"/>
      <c r="C13" s="723">
        <v>0</v>
      </c>
      <c r="D13" s="701">
        <v>126217.9</v>
      </c>
      <c r="E13" s="723">
        <v>1</v>
      </c>
      <c r="F13" s="702">
        <v>126217.9</v>
      </c>
    </row>
    <row r="14" spans="1:6" ht="14.4" customHeight="1" x14ac:dyDescent="0.3">
      <c r="A14" s="728" t="s">
        <v>1427</v>
      </c>
      <c r="B14" s="701">
        <v>227.24999999999989</v>
      </c>
      <c r="C14" s="723">
        <v>0.76566711590296466</v>
      </c>
      <c r="D14" s="701">
        <v>69.55000000000004</v>
      </c>
      <c r="E14" s="723">
        <v>0.2343328840970352</v>
      </c>
      <c r="F14" s="702">
        <v>296.79999999999995</v>
      </c>
    </row>
    <row r="15" spans="1:6" ht="14.4" customHeight="1" x14ac:dyDescent="0.3">
      <c r="A15" s="728" t="s">
        <v>1428</v>
      </c>
      <c r="B15" s="701"/>
      <c r="C15" s="723">
        <v>0</v>
      </c>
      <c r="D15" s="701">
        <v>119.20000000000003</v>
      </c>
      <c r="E15" s="723">
        <v>1</v>
      </c>
      <c r="F15" s="702">
        <v>119.20000000000003</v>
      </c>
    </row>
    <row r="16" spans="1:6" ht="14.4" customHeight="1" x14ac:dyDescent="0.3">
      <c r="A16" s="728" t="s">
        <v>1429</v>
      </c>
      <c r="B16" s="701"/>
      <c r="C16" s="723">
        <v>0</v>
      </c>
      <c r="D16" s="701">
        <v>24768.359999999993</v>
      </c>
      <c r="E16" s="723">
        <v>1</v>
      </c>
      <c r="F16" s="702">
        <v>24768.359999999993</v>
      </c>
    </row>
    <row r="17" spans="1:6" ht="14.4" customHeight="1" x14ac:dyDescent="0.3">
      <c r="A17" s="728" t="s">
        <v>1430</v>
      </c>
      <c r="B17" s="701">
        <v>296.5</v>
      </c>
      <c r="C17" s="723">
        <v>1.1876127781527315E-2</v>
      </c>
      <c r="D17" s="701">
        <v>24669.55</v>
      </c>
      <c r="E17" s="723">
        <v>0.98812387221847264</v>
      </c>
      <c r="F17" s="702">
        <v>24966.05</v>
      </c>
    </row>
    <row r="18" spans="1:6" ht="14.4" customHeight="1" x14ac:dyDescent="0.3">
      <c r="A18" s="728" t="s">
        <v>1431</v>
      </c>
      <c r="B18" s="701">
        <v>2633.44</v>
      </c>
      <c r="C18" s="723">
        <v>1</v>
      </c>
      <c r="D18" s="701"/>
      <c r="E18" s="723">
        <v>0</v>
      </c>
      <c r="F18" s="702">
        <v>2633.44</v>
      </c>
    </row>
    <row r="19" spans="1:6" ht="14.4" customHeight="1" x14ac:dyDescent="0.3">
      <c r="A19" s="728" t="s">
        <v>1432</v>
      </c>
      <c r="B19" s="701"/>
      <c r="C19" s="723">
        <v>0</v>
      </c>
      <c r="D19" s="701">
        <v>5130.2300000000014</v>
      </c>
      <c r="E19" s="723">
        <v>1</v>
      </c>
      <c r="F19" s="702">
        <v>5130.2300000000014</v>
      </c>
    </row>
    <row r="20" spans="1:6" ht="14.4" customHeight="1" x14ac:dyDescent="0.3">
      <c r="A20" s="728" t="s">
        <v>1433</v>
      </c>
      <c r="B20" s="701"/>
      <c r="C20" s="723">
        <v>0</v>
      </c>
      <c r="D20" s="701">
        <v>98</v>
      </c>
      <c r="E20" s="723">
        <v>1</v>
      </c>
      <c r="F20" s="702">
        <v>98</v>
      </c>
    </row>
    <row r="21" spans="1:6" ht="14.4" customHeight="1" x14ac:dyDescent="0.3">
      <c r="A21" s="728" t="s">
        <v>1434</v>
      </c>
      <c r="B21" s="701"/>
      <c r="C21" s="723">
        <v>0</v>
      </c>
      <c r="D21" s="701">
        <v>83.34</v>
      </c>
      <c r="E21" s="723">
        <v>1</v>
      </c>
      <c r="F21" s="702">
        <v>83.34</v>
      </c>
    </row>
    <row r="22" spans="1:6" ht="14.4" customHeight="1" x14ac:dyDescent="0.3">
      <c r="A22" s="728" t="s">
        <v>1435</v>
      </c>
      <c r="B22" s="701">
        <v>102.30000000000003</v>
      </c>
      <c r="C22" s="723">
        <v>0.26241534988713328</v>
      </c>
      <c r="D22" s="701">
        <v>287.53999999999996</v>
      </c>
      <c r="E22" s="723">
        <v>0.73758465011286678</v>
      </c>
      <c r="F22" s="702">
        <v>389.84</v>
      </c>
    </row>
    <row r="23" spans="1:6" ht="14.4" customHeight="1" x14ac:dyDescent="0.3">
      <c r="A23" s="728" t="s">
        <v>1436</v>
      </c>
      <c r="B23" s="701"/>
      <c r="C23" s="723">
        <v>0</v>
      </c>
      <c r="D23" s="701">
        <v>62.22</v>
      </c>
      <c r="E23" s="723">
        <v>1</v>
      </c>
      <c r="F23" s="702">
        <v>62.22</v>
      </c>
    </row>
    <row r="24" spans="1:6" ht="14.4" customHeight="1" x14ac:dyDescent="0.3">
      <c r="A24" s="728" t="s">
        <v>1437</v>
      </c>
      <c r="B24" s="701"/>
      <c r="C24" s="723">
        <v>0</v>
      </c>
      <c r="D24" s="701">
        <v>942.69999999999993</v>
      </c>
      <c r="E24" s="723">
        <v>1</v>
      </c>
      <c r="F24" s="702">
        <v>942.69999999999993</v>
      </c>
    </row>
    <row r="25" spans="1:6" ht="14.4" customHeight="1" x14ac:dyDescent="0.3">
      <c r="A25" s="728" t="s">
        <v>1438</v>
      </c>
      <c r="B25" s="701"/>
      <c r="C25" s="723">
        <v>0</v>
      </c>
      <c r="D25" s="701">
        <v>414.25999999999993</v>
      </c>
      <c r="E25" s="723">
        <v>1</v>
      </c>
      <c r="F25" s="702">
        <v>414.25999999999993</v>
      </c>
    </row>
    <row r="26" spans="1:6" ht="14.4" customHeight="1" x14ac:dyDescent="0.3">
      <c r="A26" s="728" t="s">
        <v>1439</v>
      </c>
      <c r="B26" s="701"/>
      <c r="C26" s="723">
        <v>0</v>
      </c>
      <c r="D26" s="701">
        <v>874.28</v>
      </c>
      <c r="E26" s="723">
        <v>1</v>
      </c>
      <c r="F26" s="702">
        <v>874.28</v>
      </c>
    </row>
    <row r="27" spans="1:6" ht="14.4" customHeight="1" x14ac:dyDescent="0.3">
      <c r="A27" s="728" t="s">
        <v>1440</v>
      </c>
      <c r="B27" s="701"/>
      <c r="C27" s="723">
        <v>0</v>
      </c>
      <c r="D27" s="701">
        <v>76.47</v>
      </c>
      <c r="E27" s="723">
        <v>1</v>
      </c>
      <c r="F27" s="702">
        <v>76.47</v>
      </c>
    </row>
    <row r="28" spans="1:6" ht="14.4" customHeight="1" x14ac:dyDescent="0.3">
      <c r="A28" s="728" t="s">
        <v>1441</v>
      </c>
      <c r="B28" s="701"/>
      <c r="C28" s="723">
        <v>0</v>
      </c>
      <c r="D28" s="701">
        <v>69.37</v>
      </c>
      <c r="E28" s="723">
        <v>1</v>
      </c>
      <c r="F28" s="702">
        <v>69.37</v>
      </c>
    </row>
    <row r="29" spans="1:6" ht="14.4" customHeight="1" x14ac:dyDescent="0.3">
      <c r="A29" s="728" t="s">
        <v>1442</v>
      </c>
      <c r="B29" s="701"/>
      <c r="C29" s="723">
        <v>0</v>
      </c>
      <c r="D29" s="701">
        <v>295625</v>
      </c>
      <c r="E29" s="723">
        <v>1</v>
      </c>
      <c r="F29" s="702">
        <v>295625</v>
      </c>
    </row>
    <row r="30" spans="1:6" ht="14.4" customHeight="1" x14ac:dyDescent="0.3">
      <c r="A30" s="728" t="s">
        <v>1443</v>
      </c>
      <c r="B30" s="701"/>
      <c r="C30" s="723">
        <v>0</v>
      </c>
      <c r="D30" s="701">
        <v>2233.1799999999998</v>
      </c>
      <c r="E30" s="723">
        <v>1</v>
      </c>
      <c r="F30" s="702">
        <v>2233.1799999999998</v>
      </c>
    </row>
    <row r="31" spans="1:6" ht="14.4" customHeight="1" x14ac:dyDescent="0.3">
      <c r="A31" s="728" t="s">
        <v>1444</v>
      </c>
      <c r="B31" s="701">
        <v>30080.59</v>
      </c>
      <c r="C31" s="723">
        <v>0.95035533366991098</v>
      </c>
      <c r="D31" s="701">
        <v>1571.35</v>
      </c>
      <c r="E31" s="723">
        <v>4.9644666330089085E-2</v>
      </c>
      <c r="F31" s="702">
        <v>31651.94</v>
      </c>
    </row>
    <row r="32" spans="1:6" ht="14.4" customHeight="1" x14ac:dyDescent="0.3">
      <c r="A32" s="728" t="s">
        <v>1445</v>
      </c>
      <c r="B32" s="701"/>
      <c r="C32" s="723">
        <v>0</v>
      </c>
      <c r="D32" s="701">
        <v>873647.67599999998</v>
      </c>
      <c r="E32" s="723">
        <v>1</v>
      </c>
      <c r="F32" s="702">
        <v>873647.67599999998</v>
      </c>
    </row>
    <row r="33" spans="1:6" ht="14.4" customHeight="1" x14ac:dyDescent="0.3">
      <c r="A33" s="728" t="s">
        <v>1446</v>
      </c>
      <c r="B33" s="701">
        <v>3778.6200000000003</v>
      </c>
      <c r="C33" s="723">
        <v>1</v>
      </c>
      <c r="D33" s="701"/>
      <c r="E33" s="723">
        <v>0</v>
      </c>
      <c r="F33" s="702">
        <v>3778.6200000000003</v>
      </c>
    </row>
    <row r="34" spans="1:6" ht="14.4" customHeight="1" x14ac:dyDescent="0.3">
      <c r="A34" s="728" t="s">
        <v>1447</v>
      </c>
      <c r="B34" s="701">
        <v>1116.5</v>
      </c>
      <c r="C34" s="723">
        <v>7.3798055075888396E-3</v>
      </c>
      <c r="D34" s="701">
        <v>150174.75</v>
      </c>
      <c r="E34" s="723">
        <v>0.99262019449241112</v>
      </c>
      <c r="F34" s="702">
        <v>151291.25</v>
      </c>
    </row>
    <row r="35" spans="1:6" ht="14.4" customHeight="1" x14ac:dyDescent="0.3">
      <c r="A35" s="728" t="s">
        <v>1448</v>
      </c>
      <c r="B35" s="701"/>
      <c r="C35" s="723">
        <v>0</v>
      </c>
      <c r="D35" s="701">
        <v>11696.3</v>
      </c>
      <c r="E35" s="723">
        <v>1</v>
      </c>
      <c r="F35" s="702">
        <v>11696.3</v>
      </c>
    </row>
    <row r="36" spans="1:6" ht="14.4" customHeight="1" x14ac:dyDescent="0.3">
      <c r="A36" s="728" t="s">
        <v>1449</v>
      </c>
      <c r="B36" s="701">
        <v>2285.0769999999998</v>
      </c>
      <c r="C36" s="723">
        <v>0.13095354348920921</v>
      </c>
      <c r="D36" s="701">
        <v>15164.447</v>
      </c>
      <c r="E36" s="723">
        <v>0.86904645651079071</v>
      </c>
      <c r="F36" s="702">
        <v>17449.524000000001</v>
      </c>
    </row>
    <row r="37" spans="1:6" ht="14.4" customHeight="1" x14ac:dyDescent="0.3">
      <c r="A37" s="728" t="s">
        <v>1450</v>
      </c>
      <c r="B37" s="701"/>
      <c r="C37" s="723">
        <v>0</v>
      </c>
      <c r="D37" s="701">
        <v>4167.9100000000008</v>
      </c>
      <c r="E37" s="723">
        <v>1</v>
      </c>
      <c r="F37" s="702">
        <v>4167.9100000000008</v>
      </c>
    </row>
    <row r="38" spans="1:6" ht="14.4" customHeight="1" x14ac:dyDescent="0.3">
      <c r="A38" s="728" t="s">
        <v>1451</v>
      </c>
      <c r="B38" s="701"/>
      <c r="C38" s="723">
        <v>0</v>
      </c>
      <c r="D38" s="701">
        <v>15718.960000000001</v>
      </c>
      <c r="E38" s="723">
        <v>1</v>
      </c>
      <c r="F38" s="702">
        <v>15718.960000000001</v>
      </c>
    </row>
    <row r="39" spans="1:6" ht="14.4" customHeight="1" x14ac:dyDescent="0.3">
      <c r="A39" s="728" t="s">
        <v>1452</v>
      </c>
      <c r="B39" s="701"/>
      <c r="C39" s="723">
        <v>0</v>
      </c>
      <c r="D39" s="701">
        <v>92419.53387048695</v>
      </c>
      <c r="E39" s="723">
        <v>1</v>
      </c>
      <c r="F39" s="702">
        <v>92419.53387048695</v>
      </c>
    </row>
    <row r="40" spans="1:6" ht="14.4" customHeight="1" x14ac:dyDescent="0.3">
      <c r="A40" s="728" t="s">
        <v>1453</v>
      </c>
      <c r="B40" s="701">
        <v>17868.485000000001</v>
      </c>
      <c r="C40" s="723">
        <v>0.69462376267183579</v>
      </c>
      <c r="D40" s="701">
        <v>7855.4910000000009</v>
      </c>
      <c r="E40" s="723">
        <v>0.30537623732816421</v>
      </c>
      <c r="F40" s="702">
        <v>25723.976000000002</v>
      </c>
    </row>
    <row r="41" spans="1:6" ht="14.4" customHeight="1" x14ac:dyDescent="0.3">
      <c r="A41" s="728" t="s">
        <v>1454</v>
      </c>
      <c r="B41" s="701"/>
      <c r="C41" s="723">
        <v>0</v>
      </c>
      <c r="D41" s="701">
        <v>24242.12</v>
      </c>
      <c r="E41" s="723">
        <v>1</v>
      </c>
      <c r="F41" s="702">
        <v>24242.12</v>
      </c>
    </row>
    <row r="42" spans="1:6" ht="14.4" customHeight="1" x14ac:dyDescent="0.3">
      <c r="A42" s="728" t="s">
        <v>1455</v>
      </c>
      <c r="B42" s="701">
        <v>4307.5200000000004</v>
      </c>
      <c r="C42" s="723">
        <v>0.19703941364636265</v>
      </c>
      <c r="D42" s="701">
        <v>17553.690000000002</v>
      </c>
      <c r="E42" s="723">
        <v>0.80296058635363732</v>
      </c>
      <c r="F42" s="702">
        <v>21861.210000000003</v>
      </c>
    </row>
    <row r="43" spans="1:6" ht="14.4" customHeight="1" x14ac:dyDescent="0.3">
      <c r="A43" s="728" t="s">
        <v>1456</v>
      </c>
      <c r="B43" s="701"/>
      <c r="C43" s="723">
        <v>0</v>
      </c>
      <c r="D43" s="701">
        <v>107539.9</v>
      </c>
      <c r="E43" s="723">
        <v>1</v>
      </c>
      <c r="F43" s="702">
        <v>107539.9</v>
      </c>
    </row>
    <row r="44" spans="1:6" ht="14.4" customHeight="1" x14ac:dyDescent="0.3">
      <c r="A44" s="728" t="s">
        <v>1457</v>
      </c>
      <c r="B44" s="701">
        <v>590.43999999999994</v>
      </c>
      <c r="C44" s="723">
        <v>1</v>
      </c>
      <c r="D44" s="701"/>
      <c r="E44" s="723">
        <v>0</v>
      </c>
      <c r="F44" s="702">
        <v>590.43999999999994</v>
      </c>
    </row>
    <row r="45" spans="1:6" ht="14.4" customHeight="1" x14ac:dyDescent="0.3">
      <c r="A45" s="728" t="s">
        <v>1458</v>
      </c>
      <c r="B45" s="701"/>
      <c r="C45" s="723">
        <v>0</v>
      </c>
      <c r="D45" s="701">
        <v>8385.76</v>
      </c>
      <c r="E45" s="723">
        <v>1</v>
      </c>
      <c r="F45" s="702">
        <v>8385.76</v>
      </c>
    </row>
    <row r="46" spans="1:6" ht="14.4" customHeight="1" x14ac:dyDescent="0.3">
      <c r="A46" s="728" t="s">
        <v>1459</v>
      </c>
      <c r="B46" s="701">
        <v>89.08</v>
      </c>
      <c r="C46" s="723">
        <v>0.17589100504278582</v>
      </c>
      <c r="D46" s="701">
        <v>417.37000282038935</v>
      </c>
      <c r="E46" s="723">
        <v>0.82410899495721424</v>
      </c>
      <c r="F46" s="702">
        <v>506.45000282038933</v>
      </c>
    </row>
    <row r="47" spans="1:6" ht="14.4" customHeight="1" x14ac:dyDescent="0.3">
      <c r="A47" s="728" t="s">
        <v>1460</v>
      </c>
      <c r="B47" s="701">
        <v>963.95</v>
      </c>
      <c r="C47" s="723">
        <v>1</v>
      </c>
      <c r="D47" s="701"/>
      <c r="E47" s="723">
        <v>0</v>
      </c>
      <c r="F47" s="702">
        <v>963.95</v>
      </c>
    </row>
    <row r="48" spans="1:6" ht="14.4" customHeight="1" x14ac:dyDescent="0.3">
      <c r="A48" s="728" t="s">
        <v>1461</v>
      </c>
      <c r="B48" s="701"/>
      <c r="C48" s="723">
        <v>0</v>
      </c>
      <c r="D48" s="701">
        <v>32.399999999999991</v>
      </c>
      <c r="E48" s="723">
        <v>1</v>
      </c>
      <c r="F48" s="702">
        <v>32.399999999999991</v>
      </c>
    </row>
    <row r="49" spans="1:6" ht="14.4" customHeight="1" x14ac:dyDescent="0.3">
      <c r="A49" s="728" t="s">
        <v>1462</v>
      </c>
      <c r="B49" s="701">
        <v>-125.66999999999997</v>
      </c>
      <c r="C49" s="723">
        <v>1</v>
      </c>
      <c r="D49" s="701">
        <v>0</v>
      </c>
      <c r="E49" s="723">
        <v>0</v>
      </c>
      <c r="F49" s="702">
        <v>-125.66999999999997</v>
      </c>
    </row>
    <row r="50" spans="1:6" ht="14.4" customHeight="1" x14ac:dyDescent="0.3">
      <c r="A50" s="728" t="s">
        <v>1463</v>
      </c>
      <c r="B50" s="701">
        <v>19208.8</v>
      </c>
      <c r="C50" s="723">
        <v>0.10667291009660805</v>
      </c>
      <c r="D50" s="701">
        <v>160863.16</v>
      </c>
      <c r="E50" s="723">
        <v>0.89332708990339205</v>
      </c>
      <c r="F50" s="702">
        <v>180071.96</v>
      </c>
    </row>
    <row r="51" spans="1:6" ht="14.4" customHeight="1" x14ac:dyDescent="0.3">
      <c r="A51" s="728" t="s">
        <v>1464</v>
      </c>
      <c r="B51" s="701"/>
      <c r="C51" s="723">
        <v>0</v>
      </c>
      <c r="D51" s="701">
        <v>1210</v>
      </c>
      <c r="E51" s="723">
        <v>1</v>
      </c>
      <c r="F51" s="702">
        <v>1210</v>
      </c>
    </row>
    <row r="52" spans="1:6" ht="14.4" customHeight="1" x14ac:dyDescent="0.3">
      <c r="A52" s="728" t="s">
        <v>1465</v>
      </c>
      <c r="B52" s="701"/>
      <c r="C52" s="723">
        <v>0</v>
      </c>
      <c r="D52" s="701">
        <v>26945.869999318951</v>
      </c>
      <c r="E52" s="723">
        <v>1</v>
      </c>
      <c r="F52" s="702">
        <v>26945.869999318951</v>
      </c>
    </row>
    <row r="53" spans="1:6" ht="14.4" customHeight="1" x14ac:dyDescent="0.3">
      <c r="A53" s="728" t="s">
        <v>1466</v>
      </c>
      <c r="B53" s="701">
        <v>28.779999999999998</v>
      </c>
      <c r="C53" s="723">
        <v>1.9596521379137534E-3</v>
      </c>
      <c r="D53" s="701">
        <v>14657.5</v>
      </c>
      <c r="E53" s="723">
        <v>0.99804034786208617</v>
      </c>
      <c r="F53" s="702">
        <v>14686.28</v>
      </c>
    </row>
    <row r="54" spans="1:6" ht="14.4" customHeight="1" x14ac:dyDescent="0.3">
      <c r="A54" s="728" t="s">
        <v>1467</v>
      </c>
      <c r="B54" s="701"/>
      <c r="C54" s="723">
        <v>0</v>
      </c>
      <c r="D54" s="701">
        <v>15082.119999999999</v>
      </c>
      <c r="E54" s="723">
        <v>1</v>
      </c>
      <c r="F54" s="702">
        <v>15082.119999999999</v>
      </c>
    </row>
    <row r="55" spans="1:6" ht="14.4" customHeight="1" x14ac:dyDescent="0.3">
      <c r="A55" s="728" t="s">
        <v>1468</v>
      </c>
      <c r="B55" s="701"/>
      <c r="C55" s="723">
        <v>0</v>
      </c>
      <c r="D55" s="701">
        <v>2031.5000000000009</v>
      </c>
      <c r="E55" s="723">
        <v>1</v>
      </c>
      <c r="F55" s="702">
        <v>2031.5000000000009</v>
      </c>
    </row>
    <row r="56" spans="1:6" ht="14.4" customHeight="1" x14ac:dyDescent="0.3">
      <c r="A56" s="728" t="s">
        <v>1469</v>
      </c>
      <c r="B56" s="701"/>
      <c r="C56" s="723">
        <v>0</v>
      </c>
      <c r="D56" s="701">
        <v>634.24</v>
      </c>
      <c r="E56" s="723">
        <v>1</v>
      </c>
      <c r="F56" s="702">
        <v>634.24</v>
      </c>
    </row>
    <row r="57" spans="1:6" ht="14.4" customHeight="1" x14ac:dyDescent="0.3">
      <c r="A57" s="728" t="s">
        <v>1470</v>
      </c>
      <c r="B57" s="701"/>
      <c r="C57" s="723">
        <v>0</v>
      </c>
      <c r="D57" s="701">
        <v>21327.920000000002</v>
      </c>
      <c r="E57" s="723">
        <v>1</v>
      </c>
      <c r="F57" s="702">
        <v>21327.920000000002</v>
      </c>
    </row>
    <row r="58" spans="1:6" ht="14.4" customHeight="1" x14ac:dyDescent="0.3">
      <c r="A58" s="728" t="s">
        <v>1471</v>
      </c>
      <c r="B58" s="701">
        <v>40.260000000000005</v>
      </c>
      <c r="C58" s="723">
        <v>0.14044512663085187</v>
      </c>
      <c r="D58" s="701">
        <v>246.4</v>
      </c>
      <c r="E58" s="723">
        <v>0.85955487336914804</v>
      </c>
      <c r="F58" s="702">
        <v>286.66000000000003</v>
      </c>
    </row>
    <row r="59" spans="1:6" ht="14.4" customHeight="1" x14ac:dyDescent="0.3">
      <c r="A59" s="728" t="s">
        <v>1472</v>
      </c>
      <c r="B59" s="701"/>
      <c r="C59" s="723">
        <v>0</v>
      </c>
      <c r="D59" s="701">
        <v>896.52</v>
      </c>
      <c r="E59" s="723">
        <v>1</v>
      </c>
      <c r="F59" s="702">
        <v>896.52</v>
      </c>
    </row>
    <row r="60" spans="1:6" ht="14.4" customHeight="1" x14ac:dyDescent="0.3">
      <c r="A60" s="728" t="s">
        <v>1473</v>
      </c>
      <c r="B60" s="701">
        <v>118.92000000000009</v>
      </c>
      <c r="C60" s="723">
        <v>1</v>
      </c>
      <c r="D60" s="701"/>
      <c r="E60" s="723">
        <v>0</v>
      </c>
      <c r="F60" s="702">
        <v>118.92000000000009</v>
      </c>
    </row>
    <row r="61" spans="1:6" ht="14.4" customHeight="1" x14ac:dyDescent="0.3">
      <c r="A61" s="728" t="s">
        <v>1474</v>
      </c>
      <c r="B61" s="701"/>
      <c r="C61" s="723">
        <v>0</v>
      </c>
      <c r="D61" s="701">
        <v>50.35</v>
      </c>
      <c r="E61" s="723">
        <v>1</v>
      </c>
      <c r="F61" s="702">
        <v>50.35</v>
      </c>
    </row>
    <row r="62" spans="1:6" ht="14.4" customHeight="1" x14ac:dyDescent="0.3">
      <c r="A62" s="728" t="s">
        <v>1475</v>
      </c>
      <c r="B62" s="701"/>
      <c r="C62" s="723">
        <v>0</v>
      </c>
      <c r="D62" s="701">
        <v>142.24</v>
      </c>
      <c r="E62" s="723">
        <v>1</v>
      </c>
      <c r="F62" s="702">
        <v>142.24</v>
      </c>
    </row>
    <row r="63" spans="1:6" ht="14.4" customHeight="1" x14ac:dyDescent="0.3">
      <c r="A63" s="728" t="s">
        <v>1476</v>
      </c>
      <c r="B63" s="701"/>
      <c r="C63" s="723">
        <v>0</v>
      </c>
      <c r="D63" s="701">
        <v>3248.0800000000008</v>
      </c>
      <c r="E63" s="723">
        <v>1</v>
      </c>
      <c r="F63" s="702">
        <v>3248.0800000000008</v>
      </c>
    </row>
    <row r="64" spans="1:6" ht="14.4" customHeight="1" x14ac:dyDescent="0.3">
      <c r="A64" s="728" t="s">
        <v>1477</v>
      </c>
      <c r="B64" s="701">
        <v>976</v>
      </c>
      <c r="C64" s="723">
        <v>1</v>
      </c>
      <c r="D64" s="701"/>
      <c r="E64" s="723">
        <v>0</v>
      </c>
      <c r="F64" s="702">
        <v>976</v>
      </c>
    </row>
    <row r="65" spans="1:6" ht="14.4" customHeight="1" x14ac:dyDescent="0.3">
      <c r="A65" s="728" t="s">
        <v>1478</v>
      </c>
      <c r="B65" s="701">
        <v>282.05</v>
      </c>
      <c r="C65" s="723">
        <v>0.68490323207304338</v>
      </c>
      <c r="D65" s="701">
        <v>129.76</v>
      </c>
      <c r="E65" s="723">
        <v>0.31509676792695657</v>
      </c>
      <c r="F65" s="702">
        <v>411.81</v>
      </c>
    </row>
    <row r="66" spans="1:6" ht="14.4" customHeight="1" x14ac:dyDescent="0.3">
      <c r="A66" s="728" t="s">
        <v>1479</v>
      </c>
      <c r="B66" s="701"/>
      <c r="C66" s="723">
        <v>0</v>
      </c>
      <c r="D66" s="701">
        <v>686</v>
      </c>
      <c r="E66" s="723">
        <v>1</v>
      </c>
      <c r="F66" s="702">
        <v>686</v>
      </c>
    </row>
    <row r="67" spans="1:6" ht="14.4" customHeight="1" x14ac:dyDescent="0.3">
      <c r="A67" s="728" t="s">
        <v>1480</v>
      </c>
      <c r="B67" s="701"/>
      <c r="C67" s="723">
        <v>0</v>
      </c>
      <c r="D67" s="701">
        <v>336.53</v>
      </c>
      <c r="E67" s="723">
        <v>1</v>
      </c>
      <c r="F67" s="702">
        <v>336.53</v>
      </c>
    </row>
    <row r="68" spans="1:6" ht="14.4" customHeight="1" x14ac:dyDescent="0.3">
      <c r="A68" s="728" t="s">
        <v>1481</v>
      </c>
      <c r="B68" s="701"/>
      <c r="C68" s="723">
        <v>0</v>
      </c>
      <c r="D68" s="701">
        <v>435.78000000000014</v>
      </c>
      <c r="E68" s="723">
        <v>1</v>
      </c>
      <c r="F68" s="702">
        <v>435.78000000000014</v>
      </c>
    </row>
    <row r="69" spans="1:6" ht="14.4" customHeight="1" x14ac:dyDescent="0.3">
      <c r="A69" s="728" t="s">
        <v>1482</v>
      </c>
      <c r="B69" s="701"/>
      <c r="C69" s="723">
        <v>0</v>
      </c>
      <c r="D69" s="701">
        <v>161.47999999999999</v>
      </c>
      <c r="E69" s="723">
        <v>1</v>
      </c>
      <c r="F69" s="702">
        <v>161.47999999999999</v>
      </c>
    </row>
    <row r="70" spans="1:6" ht="14.4" customHeight="1" x14ac:dyDescent="0.3">
      <c r="A70" s="728" t="s">
        <v>1483</v>
      </c>
      <c r="B70" s="701">
        <v>35922.210000000006</v>
      </c>
      <c r="C70" s="723">
        <v>0.25893201009340228</v>
      </c>
      <c r="D70" s="701">
        <v>102810</v>
      </c>
      <c r="E70" s="723">
        <v>0.74106798990659761</v>
      </c>
      <c r="F70" s="702">
        <v>138732.21000000002</v>
      </c>
    </row>
    <row r="71" spans="1:6" ht="14.4" customHeight="1" x14ac:dyDescent="0.3">
      <c r="A71" s="728" t="s">
        <v>1484</v>
      </c>
      <c r="B71" s="701"/>
      <c r="C71" s="723">
        <v>0</v>
      </c>
      <c r="D71" s="701">
        <v>114.92000000000003</v>
      </c>
      <c r="E71" s="723">
        <v>1</v>
      </c>
      <c r="F71" s="702">
        <v>114.92000000000003</v>
      </c>
    </row>
    <row r="72" spans="1:6" ht="14.4" customHeight="1" x14ac:dyDescent="0.3">
      <c r="A72" s="728" t="s">
        <v>1485</v>
      </c>
      <c r="B72" s="701">
        <v>575.14000000000021</v>
      </c>
      <c r="C72" s="723">
        <v>1</v>
      </c>
      <c r="D72" s="701"/>
      <c r="E72" s="723">
        <v>0</v>
      </c>
      <c r="F72" s="702">
        <v>575.14000000000021</v>
      </c>
    </row>
    <row r="73" spans="1:6" ht="14.4" customHeight="1" x14ac:dyDescent="0.3">
      <c r="A73" s="728" t="s">
        <v>1486</v>
      </c>
      <c r="B73" s="701"/>
      <c r="C73" s="723">
        <v>0</v>
      </c>
      <c r="D73" s="701">
        <v>729.74000000000012</v>
      </c>
      <c r="E73" s="723">
        <v>1</v>
      </c>
      <c r="F73" s="702">
        <v>729.74000000000012</v>
      </c>
    </row>
    <row r="74" spans="1:6" ht="14.4" customHeight="1" x14ac:dyDescent="0.3">
      <c r="A74" s="728" t="s">
        <v>1487</v>
      </c>
      <c r="B74" s="701"/>
      <c r="C74" s="723">
        <v>0</v>
      </c>
      <c r="D74" s="701">
        <v>33723.810000000005</v>
      </c>
      <c r="E74" s="723">
        <v>1</v>
      </c>
      <c r="F74" s="702">
        <v>33723.810000000005</v>
      </c>
    </row>
    <row r="75" spans="1:6" ht="14.4" customHeight="1" x14ac:dyDescent="0.3">
      <c r="A75" s="728" t="s">
        <v>1488</v>
      </c>
      <c r="B75" s="701">
        <v>102127.72000000002</v>
      </c>
      <c r="C75" s="723">
        <v>0.59715271137239667</v>
      </c>
      <c r="D75" s="701">
        <v>68896.740000000005</v>
      </c>
      <c r="E75" s="723">
        <v>0.40284728862760333</v>
      </c>
      <c r="F75" s="702">
        <v>171024.46000000002</v>
      </c>
    </row>
    <row r="76" spans="1:6" ht="14.4" customHeight="1" x14ac:dyDescent="0.3">
      <c r="A76" s="728" t="s">
        <v>1489</v>
      </c>
      <c r="B76" s="701"/>
      <c r="C76" s="723">
        <v>0</v>
      </c>
      <c r="D76" s="701">
        <v>1212.4299999999998</v>
      </c>
      <c r="E76" s="723">
        <v>1</v>
      </c>
      <c r="F76" s="702">
        <v>1212.4299999999998</v>
      </c>
    </row>
    <row r="77" spans="1:6" ht="14.4" customHeight="1" thickBot="1" x14ac:dyDescent="0.35">
      <c r="A77" s="729" t="s">
        <v>1490</v>
      </c>
      <c r="B77" s="724">
        <v>204.42000000000004</v>
      </c>
      <c r="C77" s="725">
        <v>5.4475639326604132E-3</v>
      </c>
      <c r="D77" s="724">
        <v>37320.610000000015</v>
      </c>
      <c r="E77" s="725">
        <v>0.99455243606733967</v>
      </c>
      <c r="F77" s="726">
        <v>37525.030000000013</v>
      </c>
    </row>
    <row r="78" spans="1:6" ht="14.4" customHeight="1" thickBot="1" x14ac:dyDescent="0.35">
      <c r="A78" s="717" t="s">
        <v>3</v>
      </c>
      <c r="B78" s="718">
        <v>223813.72200000004</v>
      </c>
      <c r="C78" s="719">
        <v>8.6622775199575161E-2</v>
      </c>
      <c r="D78" s="718">
        <v>2359960.827872626</v>
      </c>
      <c r="E78" s="719">
        <v>0.9133772248004246</v>
      </c>
      <c r="F78" s="720">
        <v>2583774.5498726266</v>
      </c>
    </row>
  </sheetData>
  <mergeCells count="3">
    <mergeCell ref="A1:F1"/>
    <mergeCell ref="B3:C3"/>
    <mergeCell ref="D3:E3"/>
  </mergeCells>
  <conditionalFormatting sqref="C5:C1048576">
    <cfRule type="cellIs" dxfId="4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5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2019-01-29T12:08:25Z</dcterms:modified>
</cp:coreProperties>
</file>