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F7910378-C44F-44DC-8CE3-17C1B71817C1}" xr6:coauthVersionLast="44" xr6:coauthVersionMax="44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  <sheet name="ZV Vykáz.-H" sheetId="410" r:id="rId20"/>
    <sheet name="ZV Vykáz.-H Detail" sheetId="377" r:id="rId21"/>
    <sheet name="CaseMix" sheetId="370" r:id="rId22"/>
    <sheet name="ALOS" sheetId="374" r:id="rId23"/>
    <sheet name="Total" sheetId="371" r:id="rId24"/>
    <sheet name="ZV Vyžád." sheetId="342" r:id="rId25"/>
    <sheet name="ZV Vyžád. Detail" sheetId="343" r:id="rId26"/>
    <sheet name="OD TISS" sheetId="372" r:id="rId27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26" hidden="1">'OD TISS'!$A$5:$N$5</definedName>
    <definedName name="_xlnm._FilterDatabase" localSheetId="23" hidden="1">Total!$A$4:$Y$4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_xlnm._FilterDatabase" localSheetId="20" hidden="1">'ZV Vykáz.-H Detail'!$A$5:$Q$5</definedName>
    <definedName name="_xlnm._FilterDatabase" localSheetId="24" hidden="1">'ZV Vyžád.'!$A$5:$M$5</definedName>
    <definedName name="_xlnm._FilterDatabase" localSheetId="25" hidden="1">'ZV Vyžád. Detail'!$A$5:$Q$5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  <definedName name="_xlnm.Print_Area" localSheetId="22">ALOS!$A$1:$M$45</definedName>
    <definedName name="_xlnm.Print_Area" localSheetId="21">CaseMix!$A$1:$O$39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94" i="371" l="1"/>
  <c r="S94" i="371"/>
  <c r="T93" i="371"/>
  <c r="S93" i="371"/>
  <c r="T92" i="371"/>
  <c r="S92" i="371"/>
  <c r="T91" i="371"/>
  <c r="S91" i="371"/>
  <c r="T90" i="371"/>
  <c r="S90" i="371"/>
  <c r="T89" i="371"/>
  <c r="S89" i="371"/>
  <c r="T88" i="371"/>
  <c r="S88" i="371"/>
  <c r="T87" i="371"/>
  <c r="S87" i="371"/>
  <c r="T86" i="371"/>
  <c r="S86" i="371"/>
  <c r="T85" i="371"/>
  <c r="S85" i="371"/>
  <c r="T84" i="371"/>
  <c r="S84" i="371"/>
  <c r="T83" i="371"/>
  <c r="S83" i="371"/>
  <c r="T82" i="371"/>
  <c r="S82" i="371"/>
  <c r="T81" i="371"/>
  <c r="S81" i="371"/>
  <c r="T80" i="371"/>
  <c r="S80" i="371"/>
  <c r="T79" i="371"/>
  <c r="S79" i="371"/>
  <c r="T78" i="371"/>
  <c r="S78" i="371"/>
  <c r="T77" i="371"/>
  <c r="S77" i="371"/>
  <c r="T76" i="371"/>
  <c r="S76" i="371"/>
  <c r="T75" i="371"/>
  <c r="S75" i="371"/>
  <c r="T74" i="371"/>
  <c r="S74" i="371"/>
  <c r="T73" i="371"/>
  <c r="S73" i="371"/>
  <c r="T72" i="371"/>
  <c r="S72" i="371"/>
  <c r="T71" i="371"/>
  <c r="S71" i="371"/>
  <c r="T70" i="371"/>
  <c r="S70" i="371"/>
  <c r="T69" i="371"/>
  <c r="S69" i="371"/>
  <c r="T68" i="371"/>
  <c r="S68" i="371"/>
  <c r="T67" i="371"/>
  <c r="S67" i="371"/>
  <c r="T66" i="371"/>
  <c r="S66" i="371"/>
  <c r="T65" i="371"/>
  <c r="S65" i="371"/>
  <c r="T64" i="371"/>
  <c r="S64" i="371"/>
  <c r="T63" i="371"/>
  <c r="S63" i="371"/>
  <c r="T62" i="371"/>
  <c r="S62" i="371"/>
  <c r="T61" i="371"/>
  <c r="S61" i="371"/>
  <c r="T60" i="371"/>
  <c r="S60" i="371"/>
  <c r="T59" i="371"/>
  <c r="S59" i="371"/>
  <c r="T58" i="371"/>
  <c r="S58" i="371"/>
  <c r="T57" i="371"/>
  <c r="S57" i="371"/>
  <c r="T56" i="371"/>
  <c r="S56" i="371"/>
  <c r="T55" i="371"/>
  <c r="S55" i="371"/>
  <c r="T54" i="371"/>
  <c r="S54" i="371"/>
  <c r="T53" i="371"/>
  <c r="S53" i="371"/>
  <c r="T52" i="37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94" i="371"/>
  <c r="Q94" i="371"/>
  <c r="R93" i="371"/>
  <c r="Q93" i="371"/>
  <c r="R92" i="371"/>
  <c r="Q92" i="371"/>
  <c r="R91" i="371"/>
  <c r="Q91" i="371"/>
  <c r="R90" i="371"/>
  <c r="Q90" i="371"/>
  <c r="R89" i="371"/>
  <c r="Q89" i="371"/>
  <c r="R88" i="371"/>
  <c r="Q88" i="371"/>
  <c r="R87" i="371"/>
  <c r="Q87" i="371"/>
  <c r="R86" i="371"/>
  <c r="Q86" i="371"/>
  <c r="R85" i="371"/>
  <c r="Q85" i="371"/>
  <c r="R84" i="371"/>
  <c r="Q84" i="371"/>
  <c r="R83" i="371"/>
  <c r="Q83" i="371"/>
  <c r="R82" i="371"/>
  <c r="Q82" i="371"/>
  <c r="R81" i="371"/>
  <c r="Q81" i="371"/>
  <c r="R80" i="371"/>
  <c r="Q80" i="371"/>
  <c r="R79" i="371"/>
  <c r="Q79" i="371"/>
  <c r="R78" i="371"/>
  <c r="Q78" i="371"/>
  <c r="R77" i="371"/>
  <c r="Q77" i="371"/>
  <c r="R76" i="371"/>
  <c r="Q76" i="371"/>
  <c r="R75" i="371"/>
  <c r="Q75" i="371"/>
  <c r="R74" i="371"/>
  <c r="Q74" i="371"/>
  <c r="R73" i="371"/>
  <c r="Q73" i="371"/>
  <c r="R72" i="371"/>
  <c r="Q72" i="371"/>
  <c r="R71" i="371"/>
  <c r="Q71" i="371"/>
  <c r="R70" i="371"/>
  <c r="Q70" i="371"/>
  <c r="R69" i="371"/>
  <c r="Q69" i="371"/>
  <c r="R68" i="371"/>
  <c r="Q68" i="371"/>
  <c r="R67" i="371"/>
  <c r="Q67" i="371"/>
  <c r="R66" i="371"/>
  <c r="Q66" i="371"/>
  <c r="R65" i="371"/>
  <c r="Q65" i="371"/>
  <c r="R64" i="371"/>
  <c r="Q64" i="371"/>
  <c r="R63" i="371"/>
  <c r="Q63" i="371"/>
  <c r="R62" i="371"/>
  <c r="Q62" i="371"/>
  <c r="R61" i="371"/>
  <c r="Q61" i="371"/>
  <c r="R60" i="371"/>
  <c r="Q60" i="371"/>
  <c r="R59" i="371"/>
  <c r="Q59" i="371"/>
  <c r="R58" i="371"/>
  <c r="Q58" i="371"/>
  <c r="R57" i="371"/>
  <c r="Q57" i="371"/>
  <c r="R56" i="371"/>
  <c r="Q56" i="371"/>
  <c r="R55" i="371"/>
  <c r="Q55" i="371"/>
  <c r="R54" i="371"/>
  <c r="Q54" i="371"/>
  <c r="R53" i="371"/>
  <c r="Q53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I13" i="431"/>
  <c r="Q13" i="431"/>
  <c r="C18" i="431"/>
  <c r="E14" i="431"/>
  <c r="G18" i="431"/>
  <c r="I14" i="431"/>
  <c r="K10" i="431"/>
  <c r="L16" i="431"/>
  <c r="N12" i="431"/>
  <c r="O18" i="431"/>
  <c r="Q14" i="431"/>
  <c r="D9" i="431"/>
  <c r="D17" i="431"/>
  <c r="F13" i="431"/>
  <c r="H9" i="431"/>
  <c r="I15" i="431"/>
  <c r="K11" i="431"/>
  <c r="L17" i="431"/>
  <c r="N13" i="431"/>
  <c r="P17" i="431"/>
  <c r="O11" i="431"/>
  <c r="C12" i="431"/>
  <c r="D10" i="431"/>
  <c r="D18" i="431"/>
  <c r="E16" i="431"/>
  <c r="F14" i="431"/>
  <c r="G12" i="431"/>
  <c r="H10" i="431"/>
  <c r="H18" i="431"/>
  <c r="I16" i="431"/>
  <c r="J14" i="431"/>
  <c r="K12" i="431"/>
  <c r="L10" i="431"/>
  <c r="L18" i="431"/>
  <c r="M16" i="431"/>
  <c r="N14" i="431"/>
  <c r="O12" i="431"/>
  <c r="P10" i="431"/>
  <c r="P18" i="431"/>
  <c r="Q16" i="431"/>
  <c r="C13" i="431"/>
  <c r="D11" i="431"/>
  <c r="E9" i="431"/>
  <c r="E17" i="431"/>
  <c r="F15" i="431"/>
  <c r="G13" i="431"/>
  <c r="H11" i="431"/>
  <c r="I9" i="431"/>
  <c r="J15" i="431"/>
  <c r="K13" i="431"/>
  <c r="L11" i="431"/>
  <c r="M9" i="431"/>
  <c r="M17" i="431"/>
  <c r="N15" i="431"/>
  <c r="O13" i="431"/>
  <c r="P11" i="431"/>
  <c r="Q9" i="431"/>
  <c r="Q17" i="431"/>
  <c r="C14" i="431"/>
  <c r="E10" i="431"/>
  <c r="E18" i="431"/>
  <c r="G14" i="431"/>
  <c r="I10" i="431"/>
  <c r="J16" i="431"/>
  <c r="L12" i="431"/>
  <c r="M18" i="431"/>
  <c r="O14" i="431"/>
  <c r="Q10" i="431"/>
  <c r="D13" i="431"/>
  <c r="F17" i="431"/>
  <c r="H13" i="431"/>
  <c r="J9" i="431"/>
  <c r="K15" i="431"/>
  <c r="M11" i="431"/>
  <c r="N17" i="431"/>
  <c r="Q11" i="431"/>
  <c r="I17" i="431"/>
  <c r="D12" i="431"/>
  <c r="F16" i="431"/>
  <c r="H12" i="431"/>
  <c r="I18" i="431"/>
  <c r="K14" i="431"/>
  <c r="M10" i="431"/>
  <c r="N16" i="431"/>
  <c r="P12" i="431"/>
  <c r="Q18" i="431"/>
  <c r="C15" i="431"/>
  <c r="E11" i="431"/>
  <c r="F9" i="431"/>
  <c r="G15" i="431"/>
  <c r="I11" i="431"/>
  <c r="J17" i="431"/>
  <c r="L13" i="431"/>
  <c r="N9" i="431"/>
  <c r="O15" i="431"/>
  <c r="P13" i="431"/>
  <c r="C16" i="431"/>
  <c r="D14" i="431"/>
  <c r="E12" i="431"/>
  <c r="F10" i="431"/>
  <c r="F18" i="431"/>
  <c r="G16" i="431"/>
  <c r="H14" i="431"/>
  <c r="I12" i="431"/>
  <c r="J10" i="431"/>
  <c r="J18" i="431"/>
  <c r="K16" i="431"/>
  <c r="L14" i="431"/>
  <c r="M12" i="431"/>
  <c r="N10" i="431"/>
  <c r="N18" i="431"/>
  <c r="O16" i="431"/>
  <c r="P14" i="431"/>
  <c r="Q12" i="431"/>
  <c r="C9" i="431"/>
  <c r="C17" i="431"/>
  <c r="D15" i="431"/>
  <c r="E13" i="431"/>
  <c r="F11" i="431"/>
  <c r="G9" i="431"/>
  <c r="G17" i="431"/>
  <c r="H15" i="431"/>
  <c r="J11" i="431"/>
  <c r="K9" i="431"/>
  <c r="K17" i="431"/>
  <c r="L15" i="431"/>
  <c r="M13" i="431"/>
  <c r="N11" i="431"/>
  <c r="O9" i="431"/>
  <c r="O17" i="431"/>
  <c r="P15" i="431"/>
  <c r="C10" i="431"/>
  <c r="D16" i="431"/>
  <c r="F12" i="431"/>
  <c r="G10" i="431"/>
  <c r="H16" i="431"/>
  <c r="J12" i="431"/>
  <c r="K18" i="431"/>
  <c r="M14" i="431"/>
  <c r="O10" i="431"/>
  <c r="P16" i="431"/>
  <c r="C11" i="431"/>
  <c r="E15" i="431"/>
  <c r="G11" i="431"/>
  <c r="H17" i="431"/>
  <c r="J13" i="431"/>
  <c r="L9" i="431"/>
  <c r="M15" i="431"/>
  <c r="P9" i="431"/>
  <c r="Q15" i="431"/>
  <c r="O8" i="431"/>
  <c r="M8" i="431"/>
  <c r="K8" i="431"/>
  <c r="G8" i="431"/>
  <c r="D8" i="431"/>
  <c r="L8" i="431"/>
  <c r="P8" i="431"/>
  <c r="N8" i="431"/>
  <c r="I8" i="431"/>
  <c r="Q8" i="431"/>
  <c r="H8" i="431"/>
  <c r="C8" i="431"/>
  <c r="F8" i="431"/>
  <c r="J8" i="431"/>
  <c r="E8" i="431"/>
  <c r="R15" i="431" l="1"/>
  <c r="S15" i="431"/>
  <c r="S12" i="431"/>
  <c r="R12" i="431"/>
  <c r="S18" i="431"/>
  <c r="R18" i="431"/>
  <c r="S11" i="431"/>
  <c r="R11" i="431"/>
  <c r="R10" i="431"/>
  <c r="S10" i="431"/>
  <c r="R17" i="431"/>
  <c r="S17" i="431"/>
  <c r="R9" i="431"/>
  <c r="S9" i="431"/>
  <c r="R16" i="431"/>
  <c r="S16" i="431"/>
  <c r="R14" i="431"/>
  <c r="S14" i="431"/>
  <c r="R13" i="431"/>
  <c r="S13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T5" i="371" l="1"/>
  <c r="S5" i="371"/>
  <c r="D20" i="414" l="1"/>
  <c r="E20" i="414" s="1"/>
  <c r="D19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4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23" i="414" l="1"/>
  <c r="A24" i="414"/>
  <c r="A26" i="414"/>
  <c r="A25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K13" i="370" s="1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P26" i="370" l="1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6" i="414" s="1"/>
  <c r="E26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9" i="414" l="1"/>
  <c r="A8" i="414"/>
  <c r="A7" i="414"/>
  <c r="A22" i="383" l="1"/>
  <c r="G3" i="429"/>
  <c r="F3" i="429"/>
  <c r="E3" i="429"/>
  <c r="D3" i="429"/>
  <c r="C3" i="429"/>
  <c r="B3" i="429"/>
  <c r="A32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D13" i="370" l="1"/>
  <c r="C13" i="370"/>
  <c r="B13" i="370"/>
  <c r="P13" i="370" l="1"/>
  <c r="N13" i="370"/>
  <c r="F13" i="370"/>
  <c r="D23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29" i="414" l="1"/>
  <c r="A16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7" i="414" l="1"/>
  <c r="A22" i="414" l="1"/>
  <c r="A17" i="414"/>
  <c r="L3" i="342" l="1"/>
  <c r="K3" i="342"/>
  <c r="J3" i="342"/>
  <c r="M3" i="342" s="1"/>
  <c r="I3" i="342"/>
  <c r="H3" i="342"/>
  <c r="F3" i="342"/>
  <c r="E3" i="342"/>
  <c r="D3" i="342"/>
  <c r="C3" i="342"/>
  <c r="B3" i="342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G3" i="410" s="1"/>
  <c r="C3" i="410"/>
  <c r="B3" i="410"/>
  <c r="D21" i="414" s="1"/>
  <c r="G3" i="342" l="1"/>
  <c r="D29" i="414"/>
  <c r="M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8" i="414"/>
  <c r="A21" i="414"/>
  <c r="A13" i="414"/>
  <c r="A14" i="414"/>
  <c r="A4" i="414"/>
  <c r="A6" i="339" l="1"/>
  <c r="A5" i="339"/>
  <c r="D4" i="414"/>
  <c r="C17" i="414"/>
  <c r="C14" i="414"/>
  <c r="D17" i="414"/>
  <c r="D14" i="414"/>
  <c r="D8" i="414" l="1"/>
  <c r="C13" i="414" l="1"/>
  <c r="C7" i="414"/>
  <c r="E21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5" i="414" l="1"/>
  <c r="E25" i="414" s="1"/>
  <c r="E12" i="339"/>
  <c r="D24" i="414"/>
  <c r="E24" i="414" s="1"/>
  <c r="C12" i="339"/>
  <c r="F12" i="339" s="1"/>
  <c r="E23" i="414"/>
  <c r="B12" i="339"/>
  <c r="D27" i="414"/>
  <c r="E27" i="414" s="1"/>
  <c r="M3" i="372"/>
  <c r="L3" i="372"/>
  <c r="K3" i="372"/>
  <c r="I3" i="372"/>
  <c r="J3" i="372" s="1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87"/>
  <c r="K3" i="387" s="1"/>
  <c r="L3" i="387"/>
  <c r="J3" i="387"/>
  <c r="I3" i="387"/>
  <c r="G3" i="387"/>
  <c r="F3" i="387"/>
  <c r="N3" i="220"/>
  <c r="L3" i="220" s="1"/>
  <c r="C22" i="414"/>
  <c r="D22" i="414"/>
  <c r="J12" i="339" l="1"/>
  <c r="H3" i="387"/>
  <c r="N3" i="372"/>
  <c r="F3" i="372"/>
  <c r="I12" i="339"/>
  <c r="I13" i="339" s="1"/>
  <c r="C29" i="414"/>
  <c r="E29" i="414" s="1"/>
  <c r="F13" i="339"/>
  <c r="E13" i="339"/>
  <c r="E15" i="339" s="1"/>
  <c r="H12" i="339"/>
  <c r="G12" i="339"/>
  <c r="A4" i="383"/>
  <c r="A31" i="383"/>
  <c r="A30" i="383"/>
  <c r="A29" i="383"/>
  <c r="A28" i="383"/>
  <c r="A27" i="383"/>
  <c r="A26" i="383"/>
  <c r="A25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C4" i="414"/>
  <c r="D16" i="414"/>
  <c r="J13" i="339" l="1"/>
  <c r="B15" i="339"/>
  <c r="H13" i="339"/>
  <c r="F15" i="339"/>
  <c r="D28" i="414"/>
  <c r="E28" i="414" s="1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<sst xmlns="http://schemas.openxmlformats.org/spreadsheetml/2006/main" count="17752" uniqueCount="5183">
  <si>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</si>
  <si>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</si>
  <si>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</si>
  <si>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</si>
  <si>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</si>
  <si>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</si>
  <si>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</si>
  <si>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</si>
  <si>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</si>
  <si>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</si>
  <si>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</si>
  <si>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</si>
  <si>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</si>
  <si>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</si>
  <si>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</si>
  <si>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</si>
  <si>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</si>
  <si>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</si>
  <si>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</si>
  <si>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</si>
  <si>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</si>
  <si>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</si>
  <si>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</si>
  <si>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</si>
  <si>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</si>
  <si>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</si>
  <si>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</si>
  <si>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</si>
  <si>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</si>
  <si>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</si>
  <si>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</si>
  <si>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</si>
  <si>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</si>
  <si>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</si>
  <si>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</si>
  <si>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</si>
  <si>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</si>
  <si>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</si>
  <si>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</si>
  <si>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</si>
  <si>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</si>
  <si>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</si>
  <si>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</si>
  <si>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</si>
  <si>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</si>
  <si>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</si>
  <si>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</si>
  <si>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</si>
  <si>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</si>
  <si>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</si>
  <si>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</si>
  <si>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</si>
  <si>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</si>
  <si>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</si>
  <si>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</si>
  <si>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</si>
  <si>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</si>
  <si>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</si>
  <si>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</si>
  <si>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</si>
  <si>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</si>
  <si>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</si>
  <si>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</si>
  <si>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</si>
  <si>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</si>
  <si>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</si>
  <si>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</si>
  <si>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</si>
  <si>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</si>
  <si>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</si>
  <si>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</si>
  <si>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</si>
  <si>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</si>
  <si>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</si>
  <si>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</si>
  <si>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</si>
  <si>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</si>
  <si>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</si>
  <si>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</si>
  <si>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</si>
  <si>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</si>
  <si>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</si>
  <si>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</si>
  <si>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</si>
  <si>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</si>
  <si>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</si>
  <si>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</si>
  <si>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</si>
  <si>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</si>
  <si>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</si>
  <si>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</si>
  <si>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</si>
  <si>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</si>
  <si>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</si>
  <si>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</si>
  <si>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</si>
  <si>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</si>
  <si>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</si>
  <si>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</si>
  <si>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</si>
  <si>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</si>
  <si>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</si>
  <si>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</si>
  <si>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</si>
  <si>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</si>
  <si>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</si>
  <si>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</si>
  <si>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</si>
  <si>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</si>
  <si>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</si>
  <si>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</si>
  <si>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</si>
  <si>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</si>
  <si>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</si>
  <si>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</si>
  <si>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</si>
  <si>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</si>
  <si>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</si>
  <si>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</si>
  <si>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</si>
  <si>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</si>
  <si>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</si>
  <si>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</si>
  <si>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</si>
  <si>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</si>
  <si>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</si>
  <si>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</si>
  <si>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</si>
  <si>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</si>
  <si>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</si>
  <si>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</si>
  <si>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</si>
  <si>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</si>
  <si>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</si>
  <si>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</si>
  <si>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</si>
  <si>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</si>
  <si>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</si>
  <si>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</si>
  <si>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</si>
  <si>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</si>
  <si>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</si>
  <si>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</si>
  <si>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</si>
  <si>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</si>
  <si>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</si>
  <si>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</si>
  <si>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</si>
  <si>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</si>
  <si>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</si>
  <si>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</si>
  <si>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</si>
  <si>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</si>
  <si>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</si>
  <si>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</si>
  <si>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</si>
  <si>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</si>
  <si>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</si>
  <si>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</si>
  <si>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</si>
  <si>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</si>
  <si>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</si>
  <si>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</si>
  <si>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</si>
  <si>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</si>
  <si>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</si>
  <si>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</si>
  <si>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</si>
  <si>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</si>
  <si>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</si>
  <si>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</si>
  <si>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</si>
  <si>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</si>
  <si>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</si>
  <si>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</si>
  <si>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</si>
  <si>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</si>
  <si>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</si>
  <si>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</si>
  <si>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</si>
  <si>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</si>
  <si>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</si>
  <si>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</si>
  <si>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</si>
  <si>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</si>
  <si>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</si>
  <si>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</si>
  <si>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</si>
  <si>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</si>
  <si>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</si>
  <si>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</si>
  <si>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</si>
  <si>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</si>
  <si>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</si>
  <si>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</si>
  <si>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</si>
  <si>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</si>
  <si>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</si>
  <si>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</si>
  <si>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</si>
  <si>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</si>
  <si>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</si>
  <si>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</si>
  <si>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</si>
  <si>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</si>
  <si>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</si>
  <si>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</si>
  <si>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</si>
  <si>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</si>
  <si>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</si>
  <si>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</si>
  <si>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</si>
  <si>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</si>
  <si>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</si>
  <si>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</si>
  <si>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</si>
  <si>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</si>
  <si>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</si>
  <si>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</si>
  <si>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</si>
  <si>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</si>
  <si>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</si>
  <si>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</si>
  <si>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</si>
  <si>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</si>
  <si>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</si>
  <si>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</si>
  <si>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</si>
  <si>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</si>
  <si>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</si>
  <si>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</si>
  <si>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</si>
  <si>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</si>
  <si>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</si>
  <si>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</si>
  <si>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</si>
  <si>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</si>
  <si>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</si>
  <si>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</si>
  <si>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</si>
  <si>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</si>
  <si>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Rozdíl 2015</t>
  </si>
  <si>
    <t>Plnění 2015</t>
  </si>
  <si>
    <t>CM 2015</t>
  </si>
  <si>
    <t>Hosp. 2015</t>
  </si>
  <si>
    <t>Kč (tisíce)</t>
  </si>
  <si>
    <t>Rozdíly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</si>
  <si>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</si>
  <si>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</si>
  <si>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</si>
  <si>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</si>
  <si>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</si>
  <si>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</si>
  <si>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</si>
  <si>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</si>
  <si>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</si>
  <si>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</si>
  <si>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</si>
  <si>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</si>
  <si>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</si>
  <si>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</si>
  <si>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</si>
  <si>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</si>
  <si>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</si>
  <si>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</si>
  <si>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</si>
  <si>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</si>
  <si>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</si>
  <si>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</si>
  <si>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</si>
  <si>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</si>
  <si>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</si>
  <si>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</si>
  <si>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</si>
  <si>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</si>
  <si>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</si>
  <si>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</si>
  <si>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</si>
  <si>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</si>
  <si>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</si>
  <si>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</si>
  <si>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</si>
  <si>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</si>
  <si>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</si>
  <si>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</si>
  <si>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</si>
  <si>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</si>
  <si>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</si>
  <si>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</si>
  <si>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</si>
  <si>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</si>
  <si>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</si>
  <si>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</si>
  <si>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</si>
  <si>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</si>
  <si>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</si>
  <si>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</si>
  <si>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</si>
  <si>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</si>
  <si>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</si>
  <si>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</si>
  <si>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</si>
  <si>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</si>
  <si>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</si>
  <si>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</si>
  <si>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Oddělení intenzivní péče chirurgických oborů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</si>
  <si>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</si>
  <si>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</si>
  <si>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</si>
  <si>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</si>
  <si>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</si>
  <si>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</si>
  <si>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</si>
  <si>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</si>
  <si>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</si>
  <si>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</si>
  <si>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</si>
  <si>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50113008     léky - krev.deriváty ZUL (TO)</t>
  </si>
  <si>
    <t>50113011     léky - hemofilici ZUL (TO)</t>
  </si>
  <si>
    <t>50113013     léky - antibiotika (LEK)</t>
  </si>
  <si>
    <t>50113014     léky - antimykotika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</si>
  <si>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</si>
  <si>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</si>
  <si>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</si>
  <si>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</si>
  <si>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</si>
  <si>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</si>
  <si>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</si>
  <si>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</si>
  <si>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</si>
  <si>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</si>
  <si>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</si>
  <si>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</si>
  <si>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</si>
  <si>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</si>
  <si>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</si>
  <si>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50115089     ZPr - katetry PICC/MIDLINE (Z554)</t>
  </si>
  <si>
    <t>50115090     ZPr - zubolékařský materiál (Z509)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</si>
  <si>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</si>
  <si>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</si>
  <si>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</si>
  <si>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</si>
  <si>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</si>
  <si>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</si>
  <si>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</si>
  <si>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</si>
  <si>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</si>
  <si>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</si>
  <si>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</si>
  <si>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</si>
  <si>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--</t>
  </si>
  <si>
    <t>50117015     IT - spotřební materiál (sk. P37, 38, 48)</t>
  </si>
  <si>
    <t>50117021     všeob.mat. - hosp.přístr.a nářadí (V32) od 1tis do 2999,99</t>
  </si>
  <si>
    <t>50117024     všeob.mat. - ostatní-vyjímky (V44) od 0,01 do 999,99</t>
  </si>
  <si>
    <t>50118     Náhradní díly</t>
  </si>
  <si>
    <t>50118001     ND - ostatní (všeob.sklad) (sk.V38)</t>
  </si>
  <si>
    <t>50118003     ND - ostatní techn.(OSBTK, vč.metrologa)</t>
  </si>
  <si>
    <t>50118004     ND - zdravotní techn. (OSBTK, vč.metrologa)</t>
  </si>
  <si>
    <t>50118005     ND - výpoč. techn.(sklad) (sk.P47)</t>
  </si>
  <si>
    <t>50118006     ND - ZVIT (sk.B63)</t>
  </si>
  <si>
    <t>50118009     ND - ostatní technika (UTZ)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</si>
  <si>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</si>
  <si>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</si>
  <si>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</si>
  <si>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</si>
  <si>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</si>
  <si>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</si>
  <si>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</si>
  <si>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</si>
  <si>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</si>
  <si>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</si>
  <si>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</si>
  <si>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</si>
  <si>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</si>
  <si>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</si>
  <si>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</si>
  <si>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</si>
  <si>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 - OSBTK, vč.metrologa</t>
  </si>
  <si>
    <t>51102023     opravy ostatní techniky - OSBTK, vč.metrologa</t>
  </si>
  <si>
    <t>51102024     opravy - správa budov</t>
  </si>
  <si>
    <t>51102025     opravy - hl.energetik</t>
  </si>
  <si>
    <t>51102026     opravy STA rozvodů (tel.antény) - ELSYS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</si>
  <si>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</si>
  <si>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</si>
  <si>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</si>
  <si>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</si>
  <si>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</si>
  <si>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51203     Cestovné zaměstnanců-zahraniční</t>
  </si>
  <si>
    <t>51203000     cestovné zahraniční - mzdy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</si>
  <si>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</si>
  <si>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</si>
  <si>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</si>
  <si>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</si>
  <si>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</si>
  <si>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</si>
  <si>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</si>
  <si>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</si>
  <si>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</si>
  <si>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51806007     praní prádla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</si>
  <si>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</si>
  <si>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</si>
  <si>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</si>
  <si>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</si>
  <si>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</si>
  <si>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</si>
  <si>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</si>
  <si>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</si>
  <si>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</si>
  <si>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</si>
  <si>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</si>
  <si>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</si>
  <si>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</si>
  <si>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</si>
  <si>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</si>
  <si>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</si>
  <si>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</si>
  <si>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</si>
  <si>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</si>
  <si>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</si>
  <si>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</si>
  <si>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</si>
  <si>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</si>
  <si>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</si>
  <si>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</si>
  <si>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</si>
  <si>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</si>
  <si>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</si>
  <si>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</si>
  <si>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</si>
  <si>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</si>
  <si>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</si>
  <si>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</si>
  <si>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</si>
  <si>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</si>
  <si>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</si>
  <si>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</si>
  <si>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</si>
  <si>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</si>
  <si>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</si>
  <si>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</si>
  <si>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</si>
  <si>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</si>
  <si>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</si>
  <si>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</si>
  <si>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</si>
  <si>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</si>
  <si>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</si>
  <si>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</si>
  <si>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</si>
  <si>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</si>
  <si>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</si>
  <si>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</si>
  <si>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</si>
  <si>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</si>
  <si>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</si>
  <si>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55804     DDHM - výpočetní technika</t>
  </si>
  <si>
    <t>55804002     DDHM - telefony (sk.P_49)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</si>
  <si>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</si>
  <si>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</si>
  <si>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</si>
  <si>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</si>
  <si>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</si>
  <si>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</si>
  <si>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</si>
  <si>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</si>
  <si>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</si>
  <si>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</si>
  <si>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</si>
  <si>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</si>
  <si>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</si>
  <si>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</si>
  <si>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ZP sled.položky  OZPI</t>
  </si>
  <si>
    <t>60229201     výkony + mater. - ZP ma výkon</t>
  </si>
  <si>
    <t>60229202     výkony pojišť.EHS, výkony za cizinci (mimo EHS)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</si>
  <si>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</si>
  <si>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</si>
  <si>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</si>
  <si>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</si>
  <si>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</si>
  <si>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</si>
  <si>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</si>
  <si>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</si>
  <si>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</si>
  <si>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</si>
  <si>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</si>
  <si>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</si>
  <si>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</si>
  <si>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</si>
  <si>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</si>
  <si>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</si>
  <si>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64924450     poštovné, balné za odeslání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</si>
  <si>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</si>
  <si>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</si>
  <si>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</si>
  <si>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</si>
  <si>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</si>
  <si>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</si>
  <si>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</si>
  <si>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</si>
  <si>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</si>
  <si>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</si>
  <si>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</si>
  <si>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</si>
  <si>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</si>
  <si>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</si>
  <si>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</si>
  <si>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79905     Distribuce prádle (stř.9412)</t>
  </si>
  <si>
    <t>79905001     režie - distribuce prádla (stř.9412)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</si>
  <si>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</si>
  <si>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</si>
  <si>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</si>
  <si>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</si>
  <si>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</si>
  <si>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</si>
  <si>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</si>
  <si>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</si>
  <si>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</si>
  <si>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</si>
  <si>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59</t>
  </si>
  <si>
    <t>IPCHO: Oddělení int. péče chirurg. oborů</t>
  </si>
  <si>
    <t/>
  </si>
  <si>
    <t>50113001 - léky - paušál (LEK)</t>
  </si>
  <si>
    <t>50113002 - léky - parenterální výživa (LEK)</t>
  </si>
  <si>
    <t>50113006 - léky - enterální výživa (LEK)</t>
  </si>
  <si>
    <t>50113008 - léky - krev.deriváty ZUL (TO)</t>
  </si>
  <si>
    <t>50113011 - léky - hemofilici ZUL (TO)</t>
  </si>
  <si>
    <t>50113013 - léky - antibiotika (LEK)</t>
  </si>
  <si>
    <t>50113014 - léky - antimykotika (LEK)</t>
  </si>
  <si>
    <t>50113190 - léky - medicinální plyny (sklad SVM)</t>
  </si>
  <si>
    <t>IPCHO: Oddělení int. péče chirurg. oborů Celkem</t>
  </si>
  <si>
    <t>SumaKL</t>
  </si>
  <si>
    <t>5931</t>
  </si>
  <si>
    <t>IPCHO: JIP 51</t>
  </si>
  <si>
    <t>IPCHO: JIP 51 Celkem</t>
  </si>
  <si>
    <t>SumaNS</t>
  </si>
  <si>
    <t>mezeraNS</t>
  </si>
  <si>
    <t>léky - paušál (LEK)</t>
  </si>
  <si>
    <t>O</t>
  </si>
  <si>
    <t>ACC INJEKT</t>
  </si>
  <si>
    <t>INJ SOL 5X3ML/300MG</t>
  </si>
  <si>
    <t>ACIDUM ASCORBICUM</t>
  </si>
  <si>
    <t>INJ 5X5ML</t>
  </si>
  <si>
    <t>INJ 50X5ML</t>
  </si>
  <si>
    <t>ADRENALIN LECIVA</t>
  </si>
  <si>
    <t>INJ 5X1ML/1MG</t>
  </si>
  <si>
    <t>AERIUS 2,5 MG</t>
  </si>
  <si>
    <t>POR TBL DIS 30X2.5MG</t>
  </si>
  <si>
    <t>AESCIN-TEVA</t>
  </si>
  <si>
    <t>POR TBL FLM 30X20MG</t>
  </si>
  <si>
    <t>POR TBL ENT 90X20MG</t>
  </si>
  <si>
    <t>AGAPURIN</t>
  </si>
  <si>
    <t>INJ 5X5ML/100MG</t>
  </si>
  <si>
    <t>P</t>
  </si>
  <si>
    <t>AGEN 5</t>
  </si>
  <si>
    <t>POR TBL NOB 90X5MG</t>
  </si>
  <si>
    <t>POR TBL NOB 30X5MG</t>
  </si>
  <si>
    <t>ALDACTONE-AMPULE-výpadek</t>
  </si>
  <si>
    <t>INJ 10X10ML/200MG</t>
  </si>
  <si>
    <t>ALGIFEN NEO</t>
  </si>
  <si>
    <t>POR GTT SOL 1X50ML</t>
  </si>
  <si>
    <t>ALLOPURINOL APOTEX</t>
  </si>
  <si>
    <t>100MG TBL NOB 100</t>
  </si>
  <si>
    <t>ALMIRAL</t>
  </si>
  <si>
    <t>INJ 10X3ML/75MG</t>
  </si>
  <si>
    <t>ALOPURINOL SANDOZ</t>
  </si>
  <si>
    <t>300MG TBL NOB 30</t>
  </si>
  <si>
    <t>AMBROBENE</t>
  </si>
  <si>
    <t>INJ 5X2ML/15MG</t>
  </si>
  <si>
    <t>AMBROBENE 7.5MG/ML</t>
  </si>
  <si>
    <t>SOL 1X100ML</t>
  </si>
  <si>
    <t>AMICLOTON</t>
  </si>
  <si>
    <t>2,5MG/25MG TBL NOB 30</t>
  </si>
  <si>
    <t>ANALGIN</t>
  </si>
  <si>
    <t>INJ SOL 5X5ML</t>
  </si>
  <si>
    <t>ANDROCUR-50</t>
  </si>
  <si>
    <t>50MG TBL NOB 50</t>
  </si>
  <si>
    <t>ANOPYRIN</t>
  </si>
  <si>
    <t>100MG TBL NOB 60(6X10)</t>
  </si>
  <si>
    <t>ANOPYRIN 100MG</t>
  </si>
  <si>
    <t>TBL 20X100MG</t>
  </si>
  <si>
    <t>APAURIN</t>
  </si>
  <si>
    <t>INJ 10X2ML/10MG</t>
  </si>
  <si>
    <t>APO-IBUPROFEN 400 MG</t>
  </si>
  <si>
    <t>POR TBL FLM 100X400MG</t>
  </si>
  <si>
    <t>AQUA PRO INJECTIONE ARDEAPHARMA</t>
  </si>
  <si>
    <t>INF 1X250ML</t>
  </si>
  <si>
    <t>AQUA PRO INJECTIONE BRAUN</t>
  </si>
  <si>
    <t>INJ SOL 10X1000ML-PE</t>
  </si>
  <si>
    <t>ARDEAELYTOSOL NA.HYDR.CARB. 4,2%</t>
  </si>
  <si>
    <t>42MG/ML INF CNC SOL 10X200ML</t>
  </si>
  <si>
    <t>ARDEAELYTOSOL NA.HYDR.CARB. 8,4%</t>
  </si>
  <si>
    <t>84MG/ML INF CNC SOL 10X200ML</t>
  </si>
  <si>
    <t>ARDEAELYTOSOL NA.HYDR.CARB.4.2%</t>
  </si>
  <si>
    <t>INF 1X200ML</t>
  </si>
  <si>
    <t>ARDEAELYTOSOL NA.HYDR.CARB.8.4%</t>
  </si>
  <si>
    <t>ARDEAELYTOSOL NA.HYDR.FOSF. 8,7%</t>
  </si>
  <si>
    <t>87MG/ML INF CNC SOL 10X200ML</t>
  </si>
  <si>
    <t>ARDEAELYTOSOL NA.HYDR.FOSF.8.7%</t>
  </si>
  <si>
    <t>ARDEAELYTOSOL RL 1/1</t>
  </si>
  <si>
    <t>INF SOL 10X500ML</t>
  </si>
  <si>
    <t>ARDEAOSMOSOL MA 20</t>
  </si>
  <si>
    <t>200G/L INF SOL 10X200ML</t>
  </si>
  <si>
    <t>ARDUAN</t>
  </si>
  <si>
    <t>INJ SIC 25X4MG+2ML</t>
  </si>
  <si>
    <t>ARIXTRA</t>
  </si>
  <si>
    <t>INJ SOL 10X0.5ML</t>
  </si>
  <si>
    <t>ASCORUTIN (BLISTR)</t>
  </si>
  <si>
    <t>TBL OBD 50</t>
  </si>
  <si>
    <t>ATROPIN BIOTIKA 0.5MG</t>
  </si>
  <si>
    <t>INJ 10X1ML/0.5MG</t>
  </si>
  <si>
    <t>ATROVENT 0.025%</t>
  </si>
  <si>
    <t>INH SOL 1X20ML</t>
  </si>
  <si>
    <t>AULIN</t>
  </si>
  <si>
    <t>POR GRA SOL30SÁČKŮ</t>
  </si>
  <si>
    <t>POR TBL NOB 30X100MG</t>
  </si>
  <si>
    <t>TBL 15X100MG</t>
  </si>
  <si>
    <t>GRA 15X100MG(SACKY)</t>
  </si>
  <si>
    <t>AULIN GEL</t>
  </si>
  <si>
    <t>DRM GEL 1X100GM/3GM</t>
  </si>
  <si>
    <t>BELODERM</t>
  </si>
  <si>
    <t>DRM UNG1X30GM 0.05%</t>
  </si>
  <si>
    <t>BERODUAL</t>
  </si>
  <si>
    <t>INH LIQ 1X20ML</t>
  </si>
  <si>
    <t>BETADINE</t>
  </si>
  <si>
    <t>UNG 1X20GM</t>
  </si>
  <si>
    <t>BETADINE - zelená</t>
  </si>
  <si>
    <t>LIQ 1X1000ML</t>
  </si>
  <si>
    <t>BETALOC</t>
  </si>
  <si>
    <t>1MG/ML INJ SOL 5X5ML</t>
  </si>
  <si>
    <t>BETALOC ZOK</t>
  </si>
  <si>
    <t>50MG TBL PRO 30</t>
  </si>
  <si>
    <t>BETALOC ZOK 100 MG</t>
  </si>
  <si>
    <t>TBL RET 30X100MG</t>
  </si>
  <si>
    <t>BETASERC 16</t>
  </si>
  <si>
    <t>POR TBL NOB 60X16MG</t>
  </si>
  <si>
    <t>Biopron9 tob.60+20</t>
  </si>
  <si>
    <t>BISOPROLOL MYLAN 5 MG</t>
  </si>
  <si>
    <t>POR TBL FLM 100X5MG</t>
  </si>
  <si>
    <t>5MG TBL FLM 30</t>
  </si>
  <si>
    <t>B-komplex Zentiva 30drg</t>
  </si>
  <si>
    <t>B-komplex Zentiva drg.100 Glass</t>
  </si>
  <si>
    <t>BRAUNOVIDON MAST</t>
  </si>
  <si>
    <t>UNG 1X100GM-TUBA</t>
  </si>
  <si>
    <t>BRINTELLIX 10 MG</t>
  </si>
  <si>
    <t>POR TBL FLM 28X10MG</t>
  </si>
  <si>
    <t>BRUFEN 400</t>
  </si>
  <si>
    <t>400MG TBL FLM 100</t>
  </si>
  <si>
    <t>BRUFEN 600 MG</t>
  </si>
  <si>
    <t>POR GRA EFF 20X600MG</t>
  </si>
  <si>
    <t>BUPIVACAINE ACCORD</t>
  </si>
  <si>
    <t>5MG/ML INJ SOL 1X20ML</t>
  </si>
  <si>
    <t>BURONIL 25 MG</t>
  </si>
  <si>
    <t>POR TBL OBD 50X25MG</t>
  </si>
  <si>
    <t>BUSCOPAN</t>
  </si>
  <si>
    <t>10MG TBL OBD 20</t>
  </si>
  <si>
    <t>CALCICHEW D3</t>
  </si>
  <si>
    <t>CTB 60</t>
  </si>
  <si>
    <t>CALCIUM BIOTIKA</t>
  </si>
  <si>
    <t>INJ 10X10ML/1GM</t>
  </si>
  <si>
    <t>CALCIUM FOLINATE SANDOZ 10MG/ML</t>
  </si>
  <si>
    <t>INJ/INF SOL 1X10ML</t>
  </si>
  <si>
    <t>CALCIUM GLUCONICUM 10% B.BRAUN</t>
  </si>
  <si>
    <t>INJ SOL 20X10ML</t>
  </si>
  <si>
    <t>CALCIUM RESONIUM</t>
  </si>
  <si>
    <t>POR+RCT PLV SUS 300GM</t>
  </si>
  <si>
    <t>CALYPSOL</t>
  </si>
  <si>
    <t>INJ 5X10ML/500MG</t>
  </si>
  <si>
    <t>CARDIKET RETARD 120</t>
  </si>
  <si>
    <t>120MG CPS PRO 30 I</t>
  </si>
  <si>
    <t>CARDILAN</t>
  </si>
  <si>
    <t>INJ 10X10ML</t>
  </si>
  <si>
    <t>CARZAP 16 MG</t>
  </si>
  <si>
    <t>POR TBL NOB 28X16MG</t>
  </si>
  <si>
    <t>CATAPRES 0,15MG INJ-MIMOŘÁDNÝ DOVOZ!!</t>
  </si>
  <si>
    <t>INJ 5X1ML/0.15MG</t>
  </si>
  <si>
    <t>CELASKON 500 MG ČERVENÝ POMERANČ</t>
  </si>
  <si>
    <t>500MG TBL EFF 30(3X10)</t>
  </si>
  <si>
    <t>CEREBROLYSIN</t>
  </si>
  <si>
    <t>INJ SOL 5X10ML</t>
  </si>
  <si>
    <t>CERUCAL</t>
  </si>
  <si>
    <t>10MG TBL NOB 50</t>
  </si>
  <si>
    <t>CEZERA 5 MG</t>
  </si>
  <si>
    <t>POR TBL FLM 30X5MG</t>
  </si>
  <si>
    <t>POR TBL FLM 90X5MG</t>
  </si>
  <si>
    <t>CILOXAN</t>
  </si>
  <si>
    <t>3MG/ML AUR/OPH GTT SOL 1X5ML</t>
  </si>
  <si>
    <t>CITALEC</t>
  </si>
  <si>
    <t>20MG TBL FLM 60</t>
  </si>
  <si>
    <t>CITALEC 10 ZENTIVA</t>
  </si>
  <si>
    <t>10MG TBL FLM 30</t>
  </si>
  <si>
    <t>CITALEC 20 ZENTIVA</t>
  </si>
  <si>
    <t>20MG TBL FLM 30</t>
  </si>
  <si>
    <t>CODEIN SLOVAKOFARMA 30MG</t>
  </si>
  <si>
    <t>TBL 10X30MG-BLISTR</t>
  </si>
  <si>
    <t>COLCHICUM-DISPERT</t>
  </si>
  <si>
    <t>POR TBL OBD 20X500RG</t>
  </si>
  <si>
    <t>COMBIGAN</t>
  </si>
  <si>
    <t>OPH GTT SOL 1X5ML</t>
  </si>
  <si>
    <t>CONCOR COR 5 MG</t>
  </si>
  <si>
    <t>TBL OBD 28X5MG</t>
  </si>
  <si>
    <t>CONTROLOC</t>
  </si>
  <si>
    <t>40MG TBL ENT 100 I</t>
  </si>
  <si>
    <t>CONTROLOC 20 MG</t>
  </si>
  <si>
    <t>POR TBL ENT 100X20MG</t>
  </si>
  <si>
    <t>CONTROLOC I.V.</t>
  </si>
  <si>
    <t>INJ PLV SOL 1X40MG</t>
  </si>
  <si>
    <t>CORDARONE</t>
  </si>
  <si>
    <t>INJ SOL 6X3ML/150MG</t>
  </si>
  <si>
    <t>POR TBL NOB60X200MG</t>
  </si>
  <si>
    <t>CORYOL 3.125</t>
  </si>
  <si>
    <t>PORTBLNOB30X3.125MG</t>
  </si>
  <si>
    <t>CYCLO 3 FORT</t>
  </si>
  <si>
    <t>POR CPS DUR 30 II</t>
  </si>
  <si>
    <t>CYMEVENE</t>
  </si>
  <si>
    <t>500MG INF PLV CSL 1</t>
  </si>
  <si>
    <t>CYTO-Ringerův roztok BRAUN 1000 ML, REF.3600300</t>
  </si>
  <si>
    <t>1X1000ML</t>
  </si>
  <si>
    <t>DAPRIL 5</t>
  </si>
  <si>
    <t>TBL 30X5MG</t>
  </si>
  <si>
    <t>Deca durabolin 50mg amp.1x1ml - MIMOŘÁDNÝ DOVOZ!!</t>
  </si>
  <si>
    <t>DEGAN</t>
  </si>
  <si>
    <t>TBL 40X10MG</t>
  </si>
  <si>
    <t>INJ 50X2ML/10MG</t>
  </si>
  <si>
    <t>DELIPID PLUS</t>
  </si>
  <si>
    <t>10MG/10MG CPS DUR 30</t>
  </si>
  <si>
    <t>DEPAKINE CHRONO 300</t>
  </si>
  <si>
    <t>TBL RET 100X300MG</t>
  </si>
  <si>
    <t>DEPAKINE CHRONO 500MG SECABLE</t>
  </si>
  <si>
    <t>TBL RET 100X500MG</t>
  </si>
  <si>
    <t>DEPO-MEDROL</t>
  </si>
  <si>
    <t>INJ 1X5ML 40MG/ML</t>
  </si>
  <si>
    <t>DETRALEX</t>
  </si>
  <si>
    <t>POR TBL FLM 60</t>
  </si>
  <si>
    <t>500MG TBL FLM 180(2X90)</t>
  </si>
  <si>
    <t>TBL OBD 30</t>
  </si>
  <si>
    <t>POR TBL FLM 120X500MG</t>
  </si>
  <si>
    <t>DEXAMED</t>
  </si>
  <si>
    <t>INJ 10X2ML/8MG</t>
  </si>
  <si>
    <t>DEXA-RATIOPHARM inj. - MIMOŘÁDNÝ DOVOZ!!</t>
  </si>
  <si>
    <t>10x2ml/8mg</t>
  </si>
  <si>
    <t>DEXDOR</t>
  </si>
  <si>
    <t>INF CNC SOL 25X2ML</t>
  </si>
  <si>
    <t>DEXMEDETOMIDINE EVER PHARMA</t>
  </si>
  <si>
    <t>100MCG/ML INF CNC SOL 5X2ML</t>
  </si>
  <si>
    <t>DIAPREL MR</t>
  </si>
  <si>
    <t>30MG TBL RET 60</t>
  </si>
  <si>
    <t>DIAZEPAM SLOVAKOFARMA</t>
  </si>
  <si>
    <t>10MG TBL NOB 20(1X20)</t>
  </si>
  <si>
    <t>DICLOFENAC DUO PHARMASWISS 75 MG</t>
  </si>
  <si>
    <t>POR CPS RDR 30X75MG</t>
  </si>
  <si>
    <t>DICYNONE 250</t>
  </si>
  <si>
    <t>INJ SOL 4X2ML/250MG</t>
  </si>
  <si>
    <t>DIGOXIN ORION INJ.-MIMOŘÁDNÝ DOVOZ!!</t>
  </si>
  <si>
    <t>INJ SOL 25X1ML/0.25MG</t>
  </si>
  <si>
    <t>DILURAN</t>
  </si>
  <si>
    <t>TBL 20X250MG</t>
  </si>
  <si>
    <t>DIPEPTIVEN</t>
  </si>
  <si>
    <t>INF CNC SOL 1X100ML</t>
  </si>
  <si>
    <t>200MG/ML INF CNC SOL 10X100ML</t>
  </si>
  <si>
    <t>DIPIDOLOR</t>
  </si>
  <si>
    <t>7,5MG/ML INJ SOL 5X2ML</t>
  </si>
  <si>
    <t xml:space="preserve">DIPIDOLOR </t>
  </si>
  <si>
    <t>INJ 5X2ML 7.5MG/ML</t>
  </si>
  <si>
    <t>DIPROSALIC</t>
  </si>
  <si>
    <t>DRM SOL 1X30ML</t>
  </si>
  <si>
    <t>DRM UNG 1X15GM</t>
  </si>
  <si>
    <t>DITHIADEN</t>
  </si>
  <si>
    <t>INJ 10X2ML</t>
  </si>
  <si>
    <t>Dobutamin Admeda 250 inf.sol50ml</t>
  </si>
  <si>
    <t>DOLMINA INJ.</t>
  </si>
  <si>
    <t>INJ 5X3ML/75MG</t>
  </si>
  <si>
    <t>DOPEGYT</t>
  </si>
  <si>
    <t>TBL 50X250MG</t>
  </si>
  <si>
    <t>DORSIFLEX</t>
  </si>
  <si>
    <t>TBL 30X200MG</t>
  </si>
  <si>
    <t>DUAKLIR GENUAIR 340 MIKROGRAMŮ/12 MIKROGRAMŮ</t>
  </si>
  <si>
    <t>INH PLV 1X60DÁV</t>
  </si>
  <si>
    <t>DUPHALAC</t>
  </si>
  <si>
    <t>667MG/ML POR SOL 1X500ML IV</t>
  </si>
  <si>
    <t>667MG/ML POR SOL 1X200ML IV</t>
  </si>
  <si>
    <t>DZ BRAUNOL 500 ML</t>
  </si>
  <si>
    <t>DZ OCTENISEPT drm. sol. 250 ml</t>
  </si>
  <si>
    <t>DRM SOL 1X250ML</t>
  </si>
  <si>
    <t>DZ PRONTODERM PENA 200ml</t>
  </si>
  <si>
    <t>DZ PRONTORAL 250ML</t>
  </si>
  <si>
    <t>DZ TRIXO LIND 100 ml</t>
  </si>
  <si>
    <t>EBRANTIL 30 RETARD</t>
  </si>
  <si>
    <t>POR CPS PRO 50X30MG</t>
  </si>
  <si>
    <t>EBRANTIL 60 RETARD</t>
  </si>
  <si>
    <t>POR CPS PRO 50X60MG</t>
  </si>
  <si>
    <t>EBRANTIL I.V. 25</t>
  </si>
  <si>
    <t>INJ SOL 5X5ML/25MG</t>
  </si>
  <si>
    <t>EBRANTIL I.V.50</t>
  </si>
  <si>
    <t>INJ SOL 5X10ML/50MG</t>
  </si>
  <si>
    <t>ELOCOM</t>
  </si>
  <si>
    <t>DRM UNG 1X30GM 0,1%</t>
  </si>
  <si>
    <t>ENELBIN 100 RETARD</t>
  </si>
  <si>
    <t>TBL RET 100X100MG</t>
  </si>
  <si>
    <t>ENSURE PLUS ADVANCE KÁVOVÁ PŘÍCHUŤ</t>
  </si>
  <si>
    <t>POR SOL 4X220ML</t>
  </si>
  <si>
    <t>EPHEDRIN BIOTIKA</t>
  </si>
  <si>
    <t>INJ SOL 10X1ML/50MG</t>
  </si>
  <si>
    <t>ERCEFURYL 200 MG CPS.-výpadek do 4/20</t>
  </si>
  <si>
    <t>POR CPS DUR 14X200MG</t>
  </si>
  <si>
    <t>ERDOMED</t>
  </si>
  <si>
    <t>POR CPS DUR 60X300MG</t>
  </si>
  <si>
    <t>ERDOMED 300MG</t>
  </si>
  <si>
    <t>CPS 20X300MG</t>
  </si>
  <si>
    <t>CPS 10X300MG</t>
  </si>
  <si>
    <t>ESPUMISAN</t>
  </si>
  <si>
    <t>PORCPSMOL50X40MG-BL</t>
  </si>
  <si>
    <t>Espumisan cps.100x40mg-blistr</t>
  </si>
  <si>
    <t>0057585</t>
  </si>
  <si>
    <t>Essentiale Forte N</t>
  </si>
  <si>
    <t>por.cps.dur.100</t>
  </si>
  <si>
    <t>EUTHYROX 50</t>
  </si>
  <si>
    <t>TBL 100X50RG</t>
  </si>
  <si>
    <t>EUTHYROX 75</t>
  </si>
  <si>
    <t>TBL 100X75RG</t>
  </si>
  <si>
    <t>EXACYL</t>
  </si>
  <si>
    <t>INJ 5X5ML/500MG</t>
  </si>
  <si>
    <t>EXCIPIAL U LIPOLOTIO</t>
  </si>
  <si>
    <t>DRM EML 1X200ML</t>
  </si>
  <si>
    <t>FAKTU 100MG/2,5MG</t>
  </si>
  <si>
    <t>SUP 20</t>
  </si>
  <si>
    <t>FEBICHOL</t>
  </si>
  <si>
    <t>POR CPS MOL50X100MG</t>
  </si>
  <si>
    <t>FLAVOBION</t>
  </si>
  <si>
    <t>70MG TBL FLM 50</t>
  </si>
  <si>
    <t>FLORSALMIN</t>
  </si>
  <si>
    <t>CNC GGR 1X50ML</t>
  </si>
  <si>
    <t>FLUMAZENIL PHARMASELECT</t>
  </si>
  <si>
    <t>0,1MG/ML INJ SOL+INF CNC SOL 5X5ML</t>
  </si>
  <si>
    <t>FORMANO</t>
  </si>
  <si>
    <t>INH PLV CPS 60X12RG</t>
  </si>
  <si>
    <t>FORTECORTIN 4</t>
  </si>
  <si>
    <t>POR TBL NOB 20X4MG</t>
  </si>
  <si>
    <t>FORTRANS</t>
  </si>
  <si>
    <t>PLV 1X4(SACKY)</t>
  </si>
  <si>
    <t>FRAXIPARIN MULTI</t>
  </si>
  <si>
    <t>INJ 10X5ML/47.5KU</t>
  </si>
  <si>
    <t>FRAXIPARINE</t>
  </si>
  <si>
    <t>INJ SOL 10X0.6ML</t>
  </si>
  <si>
    <t>FURORESE 40</t>
  </si>
  <si>
    <t>TBL 50X40MG</t>
  </si>
  <si>
    <t>TBL 100X40MG</t>
  </si>
  <si>
    <t>FUROSEMID - SLOVAKOFARMA FORTE</t>
  </si>
  <si>
    <t>250MG TBL NOB 10</t>
  </si>
  <si>
    <t>FUROSEMID ACCORD</t>
  </si>
  <si>
    <t>10MG/ML INJ/INF SOL 10X2ML</t>
  </si>
  <si>
    <t>FUROSEMID BIOTIKA FORTE</t>
  </si>
  <si>
    <t>INJ 10X10ML/125MG</t>
  </si>
  <si>
    <t>GELASPAN 4% EBI20x500 ml</t>
  </si>
  <si>
    <t>INF SOL20X500ML VAK</t>
  </si>
  <si>
    <t>GERATAM 3 G</t>
  </si>
  <si>
    <t>INJ SOL 4X15ML/3GM</t>
  </si>
  <si>
    <t>GLUCOPHAGE 500 MG</t>
  </si>
  <si>
    <t>POR TBL FLM50X500MG</t>
  </si>
  <si>
    <t>GLUKÓZA 10 BRAUN</t>
  </si>
  <si>
    <t>INF SOL 10X500ML-PE</t>
  </si>
  <si>
    <t>GLUKÓZA 20 BRAUN</t>
  </si>
  <si>
    <t>200MG/ML INF SOL 10X500ML</t>
  </si>
  <si>
    <t>GLUKÓZA 40 BRAUN</t>
  </si>
  <si>
    <t>400MG/ML INF SOL 10X500ML</t>
  </si>
  <si>
    <t>GLUKÓZA 5 BRAUN</t>
  </si>
  <si>
    <t>INF SOL 20X100ML-PE</t>
  </si>
  <si>
    <t>INF SOL 10X250ML-PE</t>
  </si>
  <si>
    <t>GODASAL 100</t>
  </si>
  <si>
    <t>POR TBL NOB 50</t>
  </si>
  <si>
    <t>POR TBL NOB 100</t>
  </si>
  <si>
    <t>GUAJACURAN « 5 % INJ</t>
  </si>
  <si>
    <t>GUTRON 2.5MG</t>
  </si>
  <si>
    <t>TBL 50X2.5MG</t>
  </si>
  <si>
    <t>TBL 20X2.5MG</t>
  </si>
  <si>
    <t>GUTRON 5MG</t>
  </si>
  <si>
    <t>TBL 50X5MG</t>
  </si>
  <si>
    <t>HALOPERIDOL</t>
  </si>
  <si>
    <t>INJ 5X1ML/5MG</t>
  </si>
  <si>
    <t>GTT 1X10ML/20MG</t>
  </si>
  <si>
    <t>HALOPERIDOL DECANOAT</t>
  </si>
  <si>
    <t>INJ 5X1ML/50MG</t>
  </si>
  <si>
    <t>HELICID 20 ZENTIVA</t>
  </si>
  <si>
    <t>POR CPS ETD 90X20MG</t>
  </si>
  <si>
    <t>POR CPS ETD 28X20MG</t>
  </si>
  <si>
    <t>HEPARIN LECIVA</t>
  </si>
  <si>
    <t>INJ 1X10ML/50KU</t>
  </si>
  <si>
    <t>HEPAROID LECIVA</t>
  </si>
  <si>
    <t>UNG 1X30GM</t>
  </si>
  <si>
    <t>HERPESIN 400</t>
  </si>
  <si>
    <t>POR TBL NOB 25X400MG</t>
  </si>
  <si>
    <t>HYDROCORTISON VALEANT 100 MG-výpadek</t>
  </si>
  <si>
    <t>INJ PLV SOL 10X100MG</t>
  </si>
  <si>
    <t>HYDROCORTISON VUAB 100 MG</t>
  </si>
  <si>
    <t>INJ PLV SOL 1X100MG</t>
  </si>
  <si>
    <t>HYLAK FORTE</t>
  </si>
  <si>
    <t>POR SOL 100ML</t>
  </si>
  <si>
    <t>HYPNOMIDATE</t>
  </si>
  <si>
    <t>2MG/ML INJ SOL 5X10ML</t>
  </si>
  <si>
    <t>Hypromeloza -P 10ml</t>
  </si>
  <si>
    <t>CHLORID SODNÝ 0,9% BRAUN</t>
  </si>
  <si>
    <t>INF SOL 10X250MLPELAH</t>
  </si>
  <si>
    <t>INF SOL 20X100MLPELAH</t>
  </si>
  <si>
    <t>INF SOL 10X1000MLPLAH</t>
  </si>
  <si>
    <t>INF SOL 10X500MLPELAH</t>
  </si>
  <si>
    <t>IBUMAX 400 MG</t>
  </si>
  <si>
    <t>PORTBLFLM100X400MG</t>
  </si>
  <si>
    <t>IBUPROFEN AL 400</t>
  </si>
  <si>
    <t>400MG TBL FLM 30</t>
  </si>
  <si>
    <t>IBUPROFEN B. BRAUN 400MG</t>
  </si>
  <si>
    <t xml:space="preserve"> INF SOL 10X100ML</t>
  </si>
  <si>
    <t>IBUPROFEN B. BRAUN 600MG</t>
  </si>
  <si>
    <t>IMAZOL KRÉMPASTA</t>
  </si>
  <si>
    <t>10MG/G DRM PST 1X30G</t>
  </si>
  <si>
    <t>IMAZOL PLUS</t>
  </si>
  <si>
    <t>10MG/G+2,5MG/G CRM 30G</t>
  </si>
  <si>
    <t>IMUNOR</t>
  </si>
  <si>
    <t>LYO 4X10MG</t>
  </si>
  <si>
    <t>IMURAN</t>
  </si>
  <si>
    <t>25MG TBL FLM 100</t>
  </si>
  <si>
    <t>INDAP</t>
  </si>
  <si>
    <t>CPS 30X2.5MG</t>
  </si>
  <si>
    <t>INDOMETACIN 100 BERLIN-CHEMIE</t>
  </si>
  <si>
    <t>SUP 10X100MG</t>
  </si>
  <si>
    <t>INDOMETACIN 50 BERLIN-CHEMIE</t>
  </si>
  <si>
    <t>SUP 10X50MG</t>
  </si>
  <si>
    <t>INFECTOSCAB 5% KRÉM DRM</t>
  </si>
  <si>
    <t>1X30G</t>
  </si>
  <si>
    <t>INJ PROCAINII CHLORATI 0,2% ARD 10x200ml</t>
  </si>
  <si>
    <t>2MG/ML INJ SOL 10X200ML</t>
  </si>
  <si>
    <t>IR  NaCl 0,9% 3000 ml vak Bieffe URO Baxter</t>
  </si>
  <si>
    <t>for irrig. 1x3000 ml 15%</t>
  </si>
  <si>
    <t>IRUXOL MONO</t>
  </si>
  <si>
    <t>DRM UNG 1X10GM</t>
  </si>
  <si>
    <t>ISOKET LOSUNG 0.1% PRO INFUS.</t>
  </si>
  <si>
    <t>INJ PRO INF 10X10ML</t>
  </si>
  <si>
    <t>ISOLYTE BP - PLAST. LÁHEV</t>
  </si>
  <si>
    <t xml:space="preserve">INF SOL 10X1000ML KP </t>
  </si>
  <si>
    <t>ISOPRENALIN inj.-MIMOŘÁDNÝ DOVOZ!! - výpadek 1/20</t>
  </si>
  <si>
    <t>5x1 ml</t>
  </si>
  <si>
    <t>ISOPRINOSINE</t>
  </si>
  <si>
    <t>POR TBL NOB 50X500MG</t>
  </si>
  <si>
    <t>KALIUMCHLORID 7.45% BRAUN</t>
  </si>
  <si>
    <t>INF CNC SOL 20X100ML</t>
  </si>
  <si>
    <t>KANAVIT</t>
  </si>
  <si>
    <t>INJ 5X1ML/10MG</t>
  </si>
  <si>
    <t>KAPIDIN 10 MG</t>
  </si>
  <si>
    <t>POR TBL FLM 30X10MG</t>
  </si>
  <si>
    <t>KARDEGIC 0.5 G</t>
  </si>
  <si>
    <t>INJ PSO LQF 6+SOL</t>
  </si>
  <si>
    <t>KEPPRA 250 MG</t>
  </si>
  <si>
    <t>POR TBL FLM50X250MG</t>
  </si>
  <si>
    <t>KETILEPT</t>
  </si>
  <si>
    <t>200MG TBL FLM 80</t>
  </si>
  <si>
    <t>KINITO</t>
  </si>
  <si>
    <t>50MG TBL FLM 100(5X20)</t>
  </si>
  <si>
    <t>KL  SOL. AMIKIN 0.5%</t>
  </si>
  <si>
    <t>KL BALS.VISNEVSKI 100G</t>
  </si>
  <si>
    <t>KL ETHANOLUM BENZ.DENAT. 500ml  /400g/</t>
  </si>
  <si>
    <t>KL ETHANOLUM BENZ.DENAT. 900ml /720g/</t>
  </si>
  <si>
    <t>KL ETHER 200G</t>
  </si>
  <si>
    <t>KL ETHER LÉKOPISNÝ 1000 ml Fagron, Kulich</t>
  </si>
  <si>
    <t>UN 1155</t>
  </si>
  <si>
    <t>KL MAST NA SPALENINY, 100G</t>
  </si>
  <si>
    <t>KL MAST NA SPALENINY, 20G</t>
  </si>
  <si>
    <t>KL MAST NA SPALENINY+ BETADINE , 100G</t>
  </si>
  <si>
    <t>KL MS HYDROG.PEROX. 3% 500g</t>
  </si>
  <si>
    <t>KL POLYSAN, OL.HELIANTHI AA AD 500G</t>
  </si>
  <si>
    <t>KL PRIPRAVEK</t>
  </si>
  <si>
    <t>KL ROZTOK</t>
  </si>
  <si>
    <t>KL SIGNATURY</t>
  </si>
  <si>
    <t>KL SOL.BORGLYCEROLI  3% 100 G</t>
  </si>
  <si>
    <t>KL SOL.HYD.PEROX.3% 200G</t>
  </si>
  <si>
    <t>KL UNG.ICHT.2G,CaCO3 10G,ZnO 6G,VAS.LEN. AA AD</t>
  </si>
  <si>
    <t>100G, 2% ichtamolu</t>
  </si>
  <si>
    <t>KL UNG.LENIENS, 100G</t>
  </si>
  <si>
    <t>KL UNG.LENIENS, 500G</t>
  </si>
  <si>
    <t>KL VASELINUM ALBUM, 20G</t>
  </si>
  <si>
    <t>KL VASELINUM ALBUM, 50G</t>
  </si>
  <si>
    <t>KL ZASYP NA RANY 100G</t>
  </si>
  <si>
    <t>KL ZINCI OXIDI PASTA, 100G</t>
  </si>
  <si>
    <t>Klysma salinické 10x135ml</t>
  </si>
  <si>
    <t>KREON 10 000</t>
  </si>
  <si>
    <t>10000U CPS ETD 50</t>
  </si>
  <si>
    <t>Lactobacillus acidophil.cps.75</t>
  </si>
  <si>
    <t>Lactobacillus acidophil.cps.75 bez laktózy</t>
  </si>
  <si>
    <t>LAGOSA</t>
  </si>
  <si>
    <t>DRG 100X150MG</t>
  </si>
  <si>
    <t>LETROX 100</t>
  </si>
  <si>
    <t>POR TBL NOB 100X100RG II</t>
  </si>
  <si>
    <t>LETROX 150</t>
  </si>
  <si>
    <t>POR TBL NOB 100X150RG</t>
  </si>
  <si>
    <t>LETROX 50</t>
  </si>
  <si>
    <t>POR TBL NOB 100X50RG II</t>
  </si>
  <si>
    <t>LEXAURIN 1,5</t>
  </si>
  <si>
    <t>POR TBL NOB 28X1.5MG</t>
  </si>
  <si>
    <t>POR TBL NOB 30X1.5MG</t>
  </si>
  <si>
    <t>LEXAURIN 3</t>
  </si>
  <si>
    <t>3MG TBL NOB 30</t>
  </si>
  <si>
    <t>LIDOCAIN EGIS 10 %</t>
  </si>
  <si>
    <t>DRM SPR SOL 1X38GM</t>
  </si>
  <si>
    <t>LOKREN 20 MG</t>
  </si>
  <si>
    <t>POR TBL FLM 98X20MG</t>
  </si>
  <si>
    <t>LOPERON CPS</t>
  </si>
  <si>
    <t>POR CPS DUR 20X2MG</t>
  </si>
  <si>
    <t>POR CPS DUR 10X2MG</t>
  </si>
  <si>
    <t>LOZAP 50 ZENTIVA</t>
  </si>
  <si>
    <t>POR TBLFLM 90X50MG</t>
  </si>
  <si>
    <t>LUSOPRESS</t>
  </si>
  <si>
    <t>POR TBL NOB 98X20MG</t>
  </si>
  <si>
    <t>LYRICA 75 MG</t>
  </si>
  <si>
    <t>POR CPSDUR14X75MG</t>
  </si>
  <si>
    <t>POR CPSDUR56X75MG</t>
  </si>
  <si>
    <t>MAALOX SUSPENZE</t>
  </si>
  <si>
    <t>35MG/ML+40MG/ML POR SUS 1X250ML II</t>
  </si>
  <si>
    <t>MAGNE B6</t>
  </si>
  <si>
    <t>DRG 50</t>
  </si>
  <si>
    <t>MAGNESII LACTICI 0,5 TBL. MEDICAMENTA</t>
  </si>
  <si>
    <t>TBL NOB 100X0,5GM</t>
  </si>
  <si>
    <t>MAGNESIUM SULFURICUM BBP 10%</t>
  </si>
  <si>
    <t>INJ 5X10ML 10%</t>
  </si>
  <si>
    <t>MAGNESIUM SULFURICUM BBP 20%</t>
  </si>
  <si>
    <t>200MG/ML INJ SOL 5X10ML</t>
  </si>
  <si>
    <t>MAGNOSOLV</t>
  </si>
  <si>
    <t>365MG POR GRA SOL SCC 30</t>
  </si>
  <si>
    <t>MARCAINE 0.5%</t>
  </si>
  <si>
    <t>5MG/ML INJ SOL 5X20ML</t>
  </si>
  <si>
    <t>MAXITROL</t>
  </si>
  <si>
    <t>OPH GTT SUS 1X5ML</t>
  </si>
  <si>
    <t>MCP Hexal inj 10mg/2ml-Mimořádný dovoz</t>
  </si>
  <si>
    <t>5x2 ml</t>
  </si>
  <si>
    <t>MESOCAIN</t>
  </si>
  <si>
    <t>INJ 10X10ML 1%</t>
  </si>
  <si>
    <t>GEL 1X20GM</t>
  </si>
  <si>
    <t>METAMIZOL STADA</t>
  </si>
  <si>
    <t>500MG TBL NOB 60</t>
  </si>
  <si>
    <t>METAMIZOL STADA-výpadek</t>
  </si>
  <si>
    <t>500MG TBL NOB 20</t>
  </si>
  <si>
    <t>MICARDIS 80 MG</t>
  </si>
  <si>
    <t>POR TBL NOB 28X80MG</t>
  </si>
  <si>
    <t>MIDAZOLAM ACCORD 1 MG/ML</t>
  </si>
  <si>
    <t>INJ+INF SOL 10X5ML</t>
  </si>
  <si>
    <t>MIDAZOLAM ACCORD 5 MG/ML</t>
  </si>
  <si>
    <t>INJ+INF SOL 10X10ML</t>
  </si>
  <si>
    <t>INJ+INF SOL 10X1ML</t>
  </si>
  <si>
    <t>INJ+INF SOL 10X3ML</t>
  </si>
  <si>
    <t>MIDAZOLAM B. BRAUN 1 MG/ML</t>
  </si>
  <si>
    <t>INJ+RCT SOL 10X50ML</t>
  </si>
  <si>
    <t>MIDAZOLAM KALCEKS 5MG/ML</t>
  </si>
  <si>
    <t>INJ/INF SOL 10X10ML</t>
  </si>
  <si>
    <t>MIRTAZAPIN MYLAN 30 MG</t>
  </si>
  <si>
    <t>POR TBL DIS 30X30MG</t>
  </si>
  <si>
    <t>MODURETIC</t>
  </si>
  <si>
    <t>POR TBL NOB 30</t>
  </si>
  <si>
    <t>MONOPRIL 20 MG</t>
  </si>
  <si>
    <t>POR TBL NOB 28X20MG</t>
  </si>
  <si>
    <t>MORPHIN BIOTIKA 1%</t>
  </si>
  <si>
    <t>INJ 10X1ML/10MG</t>
  </si>
  <si>
    <t>INJ 10X2ML/20MG</t>
  </si>
  <si>
    <t>MOXOSTAD 0.4 MG</t>
  </si>
  <si>
    <t>POR TBL FLM30X0.4MG</t>
  </si>
  <si>
    <t>MUCOSOLVAN</t>
  </si>
  <si>
    <t>POR GTT SOL+INH SOL 60ML</t>
  </si>
  <si>
    <t>NALOXONE POLFA</t>
  </si>
  <si>
    <t>INJ 10X1ML/0.4MG</t>
  </si>
  <si>
    <t>NARAMIG 2,5 MG</t>
  </si>
  <si>
    <t>TBL FLM 6X2,5MG II</t>
  </si>
  <si>
    <t>NATRIUM CHLORATUM BIOTIKA 10%</t>
  </si>
  <si>
    <t>NEBILET</t>
  </si>
  <si>
    <t>POR TBL NOB 28X5MG</t>
  </si>
  <si>
    <t>NEODOLPASSE</t>
  </si>
  <si>
    <t>75MG/30MG INF SOL 10X250ML</t>
  </si>
  <si>
    <t>INF 10X250ML</t>
  </si>
  <si>
    <t>NEUROL 0.25</t>
  </si>
  <si>
    <t>TBL 30X0.25MG</t>
  </si>
  <si>
    <t>NEUROL 0.5</t>
  </si>
  <si>
    <t>POR TBL NOB30X0.5MG</t>
  </si>
  <si>
    <t>NEURONTIN 300MG</t>
  </si>
  <si>
    <t>CPS 50X300MG</t>
  </si>
  <si>
    <t>NICORETTE INVISIPATCH 15 MG/16 H</t>
  </si>
  <si>
    <t>DRM EMP TDR 7X15MG</t>
  </si>
  <si>
    <t>NICORETTE INVISIPATCH 25 MG/16 H</t>
  </si>
  <si>
    <t>DRM EMP TDR 7X25MG</t>
  </si>
  <si>
    <t>NORADRENALIN LÉČIVA</t>
  </si>
  <si>
    <t>IVN INF CNC SOL 5X5ML</t>
  </si>
  <si>
    <t>NORETHISTERON ZENTIVA</t>
  </si>
  <si>
    <t>TBL NOB 45X5MG</t>
  </si>
  <si>
    <t>NO-SPA</t>
  </si>
  <si>
    <t>POR TBL NOB 24X40MG</t>
  </si>
  <si>
    <t>NOVALGIN</t>
  </si>
  <si>
    <t>500MG TBL FLM 20</t>
  </si>
  <si>
    <t>INJ 10X2ML/1000MG</t>
  </si>
  <si>
    <t>NOVORAPID 100 U/ML</t>
  </si>
  <si>
    <t>INJ SOL 1X10ML</t>
  </si>
  <si>
    <t>NUTRYELT</t>
  </si>
  <si>
    <t>INF CNC SOL 10X10ML</t>
  </si>
  <si>
    <t>ONDANSETRON B. BRAUN 2 MG/ML</t>
  </si>
  <si>
    <t>INJ SOL 20X4ML/8MG LDPE</t>
  </si>
  <si>
    <t>ONDANSETRON SANDOZ</t>
  </si>
  <si>
    <t>8MG TBL FLM 10</t>
  </si>
  <si>
    <t>OPHTHALMO-AZULEN</t>
  </si>
  <si>
    <t>UNG OPH 1X5GM</t>
  </si>
  <si>
    <t>OPHTHALMO-HYDROCORTISON LECIVA</t>
  </si>
  <si>
    <t>UNG OPH 1X5GM 0.5%</t>
  </si>
  <si>
    <t>OPHTHALMO-SEPTONEX</t>
  </si>
  <si>
    <t>OPH GTT SOL 1X10ML PLAST</t>
  </si>
  <si>
    <t>OTIPAX</t>
  </si>
  <si>
    <t>AUR GTT SOL 1X16GM</t>
  </si>
  <si>
    <t>OTRIVIN</t>
  </si>
  <si>
    <t>1MG/ML NAS GTT SOL 1X10ML</t>
  </si>
  <si>
    <t>OXANTIL</t>
  </si>
  <si>
    <t>INJ 5X2ML</t>
  </si>
  <si>
    <t>OXAZEPAM TBL.20X10MG</t>
  </si>
  <si>
    <t>TBL 20X10MG(BLISTR)</t>
  </si>
  <si>
    <t>PAMBA</t>
  </si>
  <si>
    <t>INJ SOL 5X5ML/50MG</t>
  </si>
  <si>
    <t>PANCREOLAN FORTE</t>
  </si>
  <si>
    <t>6000U TBL ENT 60</t>
  </si>
  <si>
    <t>PARACETAMOL KABI 10MG/ML</t>
  </si>
  <si>
    <t>INF SOL 10X100ML/1000MG</t>
  </si>
  <si>
    <t>PARALEN 500 SUP</t>
  </si>
  <si>
    <t>500MG SUP 5</t>
  </si>
  <si>
    <t>PATENTBLAU V - MIMOŘ.DOVOZ!!!</t>
  </si>
  <si>
    <t>INJ 5X2ML/50MG</t>
  </si>
  <si>
    <t>PERLINGANIT ROZTOK</t>
  </si>
  <si>
    <t>INF SOL10X10ML AMP</t>
  </si>
  <si>
    <t>PEROXID VODÍKU 3% COO</t>
  </si>
  <si>
    <t>DRM SOL 1X100ML 3%</t>
  </si>
  <si>
    <t>PIPERACILLIN/TAZOBACTAM IBIGEN - MIMOŘÁDNÝ DOVOZ</t>
  </si>
  <si>
    <t>4G/0,5G INF PLV SOL 10</t>
  </si>
  <si>
    <t>PLASMALYTE ROZTOK</t>
  </si>
  <si>
    <t>INF SOL 10X1000ML</t>
  </si>
  <si>
    <t>INF SOL 20X500ML</t>
  </si>
  <si>
    <t>PLASMALYTE ROZTOK S GLUKOZOU 5%</t>
  </si>
  <si>
    <t>PREDNISON 20 LECIVA</t>
  </si>
  <si>
    <t>TBL 20X20MG(BLISTR)</t>
  </si>
  <si>
    <t>PREDUCTAL MR</t>
  </si>
  <si>
    <t>POR TBL RET 60X35MG</t>
  </si>
  <si>
    <t>PRESTARIUM NEO</t>
  </si>
  <si>
    <t>PRESTARIUM NEO COMBI 10 MG/2,5 MG</t>
  </si>
  <si>
    <t>POR TBL FLM 30</t>
  </si>
  <si>
    <t>PRESTARIUM NEO COMBI 5mg/1,25mg</t>
  </si>
  <si>
    <t>PRESTARIUM NEO FORTE</t>
  </si>
  <si>
    <t>POR TBL FLM 90X10MG</t>
  </si>
  <si>
    <t>PROPOFOL 1% MCT/LCT FRESENIUS</t>
  </si>
  <si>
    <t>INJ EML 10X100ML</t>
  </si>
  <si>
    <t>PROPOFOL-LIPURO 1 % (10MG/ML)</t>
  </si>
  <si>
    <t>INJ+INF EML 10X100ML/1000MG</t>
  </si>
  <si>
    <t>PROSTAVASIN</t>
  </si>
  <si>
    <t>INJ SIC 10X20RG</t>
  </si>
  <si>
    <t>PROTAMIN MEDA AMPULLEN</t>
  </si>
  <si>
    <t>1000IU/ML INJ SOL 5X5ML</t>
  </si>
  <si>
    <t>PROTEVASC 35 MG TABLETY S PRODLOUŽENÝM UVOLŇOVÁNÍM</t>
  </si>
  <si>
    <t>POR TBL PRO 60X35MG</t>
  </si>
  <si>
    <t>PROTHAZIN</t>
  </si>
  <si>
    <t>25MG TBL FLM 20</t>
  </si>
  <si>
    <t>PYRIDOXIN LÉČIVA TBL</t>
  </si>
  <si>
    <t xml:space="preserve">POR TBL NOB 20X20MG </t>
  </si>
  <si>
    <t>RAMIPRIL H ACTAVIS</t>
  </si>
  <si>
    <t>5MG/25MG TBL NOB 50</t>
  </si>
  <si>
    <t>REMESTYP 1.0</t>
  </si>
  <si>
    <t>INJ 5X10ML/1MG</t>
  </si>
  <si>
    <t>REMOOD 20 MG</t>
  </si>
  <si>
    <t>RINGERFUNDIN B.BRAUN</t>
  </si>
  <si>
    <t>INF SOL 10X500ML PE</t>
  </si>
  <si>
    <t>INF SOL10X1000ML PE</t>
  </si>
  <si>
    <t>RINGERUV ROZTOK BRAUN</t>
  </si>
  <si>
    <t>INF 10X500ML(LDPE)</t>
  </si>
  <si>
    <t>INF 10X1000ML(LDPE)</t>
  </si>
  <si>
    <t>RIVOTRIL</t>
  </si>
  <si>
    <t>INJ 5X1ML/1MG+SOLV.</t>
  </si>
  <si>
    <t>RIVOTRIL 0.5 MG</t>
  </si>
  <si>
    <t>TBL 50X0.5MG</t>
  </si>
  <si>
    <t>RIVOTRIL 2 MG</t>
  </si>
  <si>
    <t>TBL 30X2MG</t>
  </si>
  <si>
    <t>RIVOTRIL 2.5MG/ML</t>
  </si>
  <si>
    <t>POR GTT SOL 1X10ML</t>
  </si>
  <si>
    <t>ROCALTROL 0.25 MCG</t>
  </si>
  <si>
    <t>POR CPSMOL30X0.25RG</t>
  </si>
  <si>
    <t>ROSEMIG</t>
  </si>
  <si>
    <t>20MG NAS SPR SOL 2X0,1ML</t>
  </si>
  <si>
    <t>ROSUVASTATIN TEVA PHARMA</t>
  </si>
  <si>
    <t>40MG TBL FLM 100 II</t>
  </si>
  <si>
    <t>RYTMONORM 150 MG</t>
  </si>
  <si>
    <t>TBL FLM 100X150MG</t>
  </si>
  <si>
    <t>RYTMONORM 300MG</t>
  </si>
  <si>
    <t>TBL FLM 100</t>
  </si>
  <si>
    <t>SANDOSTATIN 0.1 MG/ML</t>
  </si>
  <si>
    <t>INJ SOL 5X1ML/0.1MG</t>
  </si>
  <si>
    <t>SANORIN</t>
  </si>
  <si>
    <t>LIQ 10ML 0.05%</t>
  </si>
  <si>
    <t>SECTRAL 400</t>
  </si>
  <si>
    <t>TBL OBD 30X400MG</t>
  </si>
  <si>
    <t>SEROPRAM</t>
  </si>
  <si>
    <t>INF 5X0.5ML/20MG</t>
  </si>
  <si>
    <t>SEROPRAM 40MG/ML</t>
  </si>
  <si>
    <t>GTT 1X15ML 40MG/ML</t>
  </si>
  <si>
    <t>SERTRALIN APOTEX 50 MG POTAHOVANÉ TABLETY</t>
  </si>
  <si>
    <t>POR TBL FLM 100X50MG</t>
  </si>
  <si>
    <t>SEVELAMER CARBONATE MYLAN</t>
  </si>
  <si>
    <t>800MG TBL FLM 180 I</t>
  </si>
  <si>
    <t>SIOFOR 1000</t>
  </si>
  <si>
    <t>POR TBL FLM 60X1000MG</t>
  </si>
  <si>
    <t>SOLIAN 200 MG</t>
  </si>
  <si>
    <t>TBL 150X200MG</t>
  </si>
  <si>
    <t>SOLU-MEDROL</t>
  </si>
  <si>
    <t>INJ SIC 1X40MG+1ML</t>
  </si>
  <si>
    <t>INJ SIC 1X1GM+16ML</t>
  </si>
  <si>
    <t>SOLUVIT N PRO INFUS.</t>
  </si>
  <si>
    <t>INJ SIC 10</t>
  </si>
  <si>
    <t>SORBIFER DURULES</t>
  </si>
  <si>
    <t>POR TBL FLM 100X100MG</t>
  </si>
  <si>
    <t>SORTIS 10MG</t>
  </si>
  <si>
    <t>TBL OBD 30X10MG</t>
  </si>
  <si>
    <t>SUFENTA FORTE</t>
  </si>
  <si>
    <t>50MCG/ML INJ SOL 5X1ML</t>
  </si>
  <si>
    <t>SUFENTANIL TORREX 50 MCG/ML</t>
  </si>
  <si>
    <t>INJ SOL 5X5ML (250RG)</t>
  </si>
  <si>
    <t>SUFENTANIL TORREX 5MCG/ML</t>
  </si>
  <si>
    <t>INJ SOL 5X10ML (50rg)</t>
  </si>
  <si>
    <t>INJ SOL 5X10ML/50RG</t>
  </si>
  <si>
    <t>SUMATRIPTAN MYLAN 50 MG</t>
  </si>
  <si>
    <t>POR TBL FLM 6X50MG</t>
  </si>
  <si>
    <t>SUPP.GLYCERINI SANOVA Glycerín.čípky Extra 3g 10ks</t>
  </si>
  <si>
    <t>SUPPOSITORIA GLYCERINI LÉČIVA</t>
  </si>
  <si>
    <t>SUP 10X2,06G</t>
  </si>
  <si>
    <t>SUXAMETHONIUM CHLORID VUAB 100MG</t>
  </si>
  <si>
    <t>INJ/INF PLV SOL 1x100MG</t>
  </si>
  <si>
    <t>SYMBICORT TURBUHALER 100 MIKROGRAMŮ/6 MIKROGRAMŮ/I</t>
  </si>
  <si>
    <t>INH PLV 1X120DÁV</t>
  </si>
  <si>
    <t>SYMBICORT TURBUHALER 400 MIKROGRAMŮ/12 MIKROGRAMŮ/</t>
  </si>
  <si>
    <t>SYNJARDY 5 MG/1000 MG</t>
  </si>
  <si>
    <t>POR TBL FLM 60X1X5MG/1000MG</t>
  </si>
  <si>
    <t>SYNTOPHYLLIN</t>
  </si>
  <si>
    <t>INJ 5X10ML/240MG</t>
  </si>
  <si>
    <t>SYNTOSTIGMIN</t>
  </si>
  <si>
    <t>TARDYFERON</t>
  </si>
  <si>
    <t>TBL RET 30</t>
  </si>
  <si>
    <t>TARDYFERON-FOL</t>
  </si>
  <si>
    <t>POR TBL RET 30</t>
  </si>
  <si>
    <t>TARKA 180/2 MG TBL.</t>
  </si>
  <si>
    <t>POR TBL RET 28</t>
  </si>
  <si>
    <t>TEGRETOL CR 200</t>
  </si>
  <si>
    <t>TBL RET 50X200MG</t>
  </si>
  <si>
    <t>TELMISARTAN/HYDROCHLOROTHIAZID SANDOZ 80 MG/12,5 M</t>
  </si>
  <si>
    <t>POR TBL FLM 100</t>
  </si>
  <si>
    <t>TELMISARTAN/HYDROCHLOROTHIAZID XANTIS</t>
  </si>
  <si>
    <t>40MG/12,5MG TBL NOB 28</t>
  </si>
  <si>
    <t>TENSAMIN</t>
  </si>
  <si>
    <t>INJ 10X5ML</t>
  </si>
  <si>
    <t>TETRASPAN 6%</t>
  </si>
  <si>
    <t>THIAMIN LECIVA</t>
  </si>
  <si>
    <t>INJ 10X2ML/100MG</t>
  </si>
  <si>
    <t>TIAPRIDAL</t>
  </si>
  <si>
    <t>INJ SOL 12X2ML/100MG</t>
  </si>
  <si>
    <t>TIMONIL RETARD</t>
  </si>
  <si>
    <t>TBL 50X300MG</t>
  </si>
  <si>
    <t>TISERCIN</t>
  </si>
  <si>
    <t>TBL OBD 50X25MG</t>
  </si>
  <si>
    <t>INJ 10X1ML/25MG</t>
  </si>
  <si>
    <t>TOBRADEX</t>
  </si>
  <si>
    <t>3MG/G+1MG/G OPH UNG 3,5G</t>
  </si>
  <si>
    <t>3MG/ML+1MG/ML OPH GTT SUS 1X5ML</t>
  </si>
  <si>
    <t>TONANDA</t>
  </si>
  <si>
    <t>4MG/5MG/1,25MG TBL NOB 90</t>
  </si>
  <si>
    <t>TORECAN</t>
  </si>
  <si>
    <t>INJ 5X1ML/6.5MG</t>
  </si>
  <si>
    <t>SUP 6X6.5MG</t>
  </si>
  <si>
    <t>TRAMAL</t>
  </si>
  <si>
    <t>GTT 1X96ML</t>
  </si>
  <si>
    <t>TRANSMETIL 500 MG TABLETY</t>
  </si>
  <si>
    <t>POR TBL ENT 10X500MG</t>
  </si>
  <si>
    <t>TRAUMAPLANT</t>
  </si>
  <si>
    <t>UNG 1X50GM</t>
  </si>
  <si>
    <t>Trental inj -MIMOŘÁDNÝ DOVOZ!!</t>
  </si>
  <si>
    <t>TRIASYN 2.5/2.5 MG</t>
  </si>
  <si>
    <t>TRIPLIXAM 5 MG/1,25 MG/5 MG</t>
  </si>
  <si>
    <t>TRITACE 1,25 MG</t>
  </si>
  <si>
    <t>POR TBL NOB 20X1.25MG</t>
  </si>
  <si>
    <t>TULIP 40 MG</t>
  </si>
  <si>
    <t>TBL FLM 30</t>
  </si>
  <si>
    <t>URSOFALK SUSPENZE</t>
  </si>
  <si>
    <t>POR SUS 1X250ML</t>
  </si>
  <si>
    <t>URSOSAN</t>
  </si>
  <si>
    <t>CPS 50X250MG</t>
  </si>
  <si>
    <t>VACTETA</t>
  </si>
  <si>
    <t>40IU/0,5ML INJ SUS 1X0,5ML</t>
  </si>
  <si>
    <t>VASOCARDIN 50</t>
  </si>
  <si>
    <t>POR TBL NOB 50X50MG</t>
  </si>
  <si>
    <t>VENTOLIN ROZTOK K INHALACI-výpadek</t>
  </si>
  <si>
    <t>INH SOL1X20ML/120MG</t>
  </si>
  <si>
    <t>VEROSPIRON</t>
  </si>
  <si>
    <t>TBL 100X25MG</t>
  </si>
  <si>
    <t>VEROSPIRON 100MG</t>
  </si>
  <si>
    <t>CPS 30X100MG</t>
  </si>
  <si>
    <t>VESSEL DUE F</t>
  </si>
  <si>
    <t>250SU CPS MOL 50</t>
  </si>
  <si>
    <t>VIANT</t>
  </si>
  <si>
    <t>INF PLV SOL 10</t>
  </si>
  <si>
    <t>VIDISIC</t>
  </si>
  <si>
    <t>GEL OPH 3X10GM</t>
  </si>
  <si>
    <t>GEL OPH 1X10GM</t>
  </si>
  <si>
    <t>VITALIPID N ADULT</t>
  </si>
  <si>
    <t>VITAMIN B12 LECIVA 300RG</t>
  </si>
  <si>
    <t>INJ 5X1ML/300RG</t>
  </si>
  <si>
    <t>VOLUVEN  6%</t>
  </si>
  <si>
    <t>INF SOL 20X500MLVAK+P</t>
  </si>
  <si>
    <t>VOLUVEN 10% 500 ML</t>
  </si>
  <si>
    <t>INF. 10X500 ML</t>
  </si>
  <si>
    <t>WARFARIN</t>
  </si>
  <si>
    <t>TBL 100X5MG</t>
  </si>
  <si>
    <t>WARFARIN PMCS 5 MG</t>
  </si>
  <si>
    <t>POR TBL NOB 100X5MG</t>
  </si>
  <si>
    <t>XALOPTIC 0,005% (0,05 MG/ML)</t>
  </si>
  <si>
    <t>OPH GTT SOL 3X2.5ML</t>
  </si>
  <si>
    <t>YAL</t>
  </si>
  <si>
    <t>SOL 2X67.5ML</t>
  </si>
  <si>
    <t>ZALDIAR</t>
  </si>
  <si>
    <t>37,5MG/325MG TBL FLM 30X1</t>
  </si>
  <si>
    <t>ZARZIO 30 MU/0,5 ML</t>
  </si>
  <si>
    <t>INJ+INF SOL 5X0.5ML</t>
  </si>
  <si>
    <t>ZODAC</t>
  </si>
  <si>
    <t>TBL OBD 60X10MG</t>
  </si>
  <si>
    <t>TBL OBD 10X10MG</t>
  </si>
  <si>
    <t>ZODAC GTT</t>
  </si>
  <si>
    <t>10MG/ML POR GTT SOL 1X20ML II</t>
  </si>
  <si>
    <t>ZOLOFT 100MG</t>
  </si>
  <si>
    <t>TBL OBD 28X100MG</t>
  </si>
  <si>
    <t>ZOLPIDEM MYLAN</t>
  </si>
  <si>
    <t>POR TBL FLM 20X10MG</t>
  </si>
  <si>
    <t>POR TBL FLM 50X10MG</t>
  </si>
  <si>
    <t>ZOXON 4</t>
  </si>
  <si>
    <t>POR TBL NOB 90X4MG</t>
  </si>
  <si>
    <t>léky - parenterální výživa (LEK)</t>
  </si>
  <si>
    <t>AMINOMIX 2 NOVUM</t>
  </si>
  <si>
    <t>INF SOL4X2000ML</t>
  </si>
  <si>
    <t>AMINOPLASMAL 15%</t>
  </si>
  <si>
    <t>INF 10X500ML</t>
  </si>
  <si>
    <t>AMINOPLASMAL B.BRAUN 10%</t>
  </si>
  <si>
    <t>AMINOPLASMAL B.BRAUN 5% E</t>
  </si>
  <si>
    <t>AMINOPLASMAL HEPA-10%</t>
  </si>
  <si>
    <t>CLINOLEIC 20%</t>
  </si>
  <si>
    <t>200MG/ML INF EML 20X250ML</t>
  </si>
  <si>
    <t>ELOTRACE I.V.</t>
  </si>
  <si>
    <t>INF 10X100ML</t>
  </si>
  <si>
    <t>IR  SMOFKABIVEN 1970ml</t>
  </si>
  <si>
    <t>IR 4x1970 ml</t>
  </si>
  <si>
    <t>LIPOPLUS 20%</t>
  </si>
  <si>
    <t>INFEML10X500ML-SKLO</t>
  </si>
  <si>
    <t>INFEML10X100ML-SKLO</t>
  </si>
  <si>
    <t>INFEML10X250ML-SKLO</t>
  </si>
  <si>
    <t>NEPHROTECT</t>
  </si>
  <si>
    <t>NUTRAMIN VLI</t>
  </si>
  <si>
    <t>INF 1X500ML</t>
  </si>
  <si>
    <t>NUTRIFLEX OMEGA SPECIAL</t>
  </si>
  <si>
    <t>INF EML 5X625ML</t>
  </si>
  <si>
    <t>NUTRIFLEX OMEGA SPECIAL 56/144</t>
  </si>
  <si>
    <t>INF EML 5X1250ML</t>
  </si>
  <si>
    <t>INF EML 5X1875ML</t>
  </si>
  <si>
    <t>NUTRIFLEX OMEGA SPECIAL BEZ ELEKTROLYTŮ</t>
  </si>
  <si>
    <t>NUTRIFLEX PERI</t>
  </si>
  <si>
    <t>INF SOL 5X2000ML</t>
  </si>
  <si>
    <t>INF SOL 5X1000ML</t>
  </si>
  <si>
    <t>OLIMEL N12</t>
  </si>
  <si>
    <t>INF EML 4X2000ML</t>
  </si>
  <si>
    <t>OLIMEL N9</t>
  </si>
  <si>
    <t>INF EML4X2000ML</t>
  </si>
  <si>
    <t>OLIMEL N9E</t>
  </si>
  <si>
    <t>SMOFKABIVEN EXTRA NITROGEN</t>
  </si>
  <si>
    <t>INF EML 4X2025ML</t>
  </si>
  <si>
    <t>SMOFLIPID</t>
  </si>
  <si>
    <t>INF EML 10X500ML</t>
  </si>
  <si>
    <t>INF EML 10X100ML</t>
  </si>
  <si>
    <t>INF EML 10X250ML</t>
  </si>
  <si>
    <t>léky - enterální výživa (LEK)</t>
  </si>
  <si>
    <t>Calogen Neutral 4x200ml</t>
  </si>
  <si>
    <t>CUBITAN S PŘÍCHUTÍ VANILKOVOU</t>
  </si>
  <si>
    <t>POR SOL 4X200ML</t>
  </si>
  <si>
    <t>DIASIP S PŘÍCHUTÍ JAHODOVOU</t>
  </si>
  <si>
    <t>POR SOL 1X200ML</t>
  </si>
  <si>
    <t>DIASIP S PŘÍCHUTÍ VANILKOVOU</t>
  </si>
  <si>
    <t>ENSURE PLUS ADVANCE BANÁNOVÁ PŘÍCHUŤ</t>
  </si>
  <si>
    <t>ENSURE PLUS ADVANCE VANILKA</t>
  </si>
  <si>
    <t>ENSURE PLUS PŘÍCHUŤ LESNÍ OVOCE</t>
  </si>
  <si>
    <t>POR SOL 1X220ML</t>
  </si>
  <si>
    <t>FRESUBIN 2 KCAL CREME CAPPUCCINO</t>
  </si>
  <si>
    <t>POR SOL 4X125G</t>
  </si>
  <si>
    <t>FRESUBIN 2 KCAL CREME VANILKA</t>
  </si>
  <si>
    <t>FRESUBIN 2 KCAL DRINK CAPPUCCINO</t>
  </si>
  <si>
    <t>FRESUBIN 2 KCAL DRINK NEUTRAL</t>
  </si>
  <si>
    <t>FRESUBIN 2 KCAL DRINK VANILKA</t>
  </si>
  <si>
    <t>FRESUBIN 2 KCAL HP FIBRE</t>
  </si>
  <si>
    <t>POR SOL 15X500ML</t>
  </si>
  <si>
    <t>FRESUBIN HP ENERGY</t>
  </si>
  <si>
    <t>FRESUBIN ORIGINAL S BROSKVOVOU PŘÍCHUTÍ</t>
  </si>
  <si>
    <t>NEPRO HP 500ml vanilková</t>
  </si>
  <si>
    <t xml:space="preserve">Novasource GI Advance </t>
  </si>
  <si>
    <t>1x500ml</t>
  </si>
  <si>
    <t>NUTRIDRINK BALÍČEK 5+1</t>
  </si>
  <si>
    <t>POR SOL 6X200ML</t>
  </si>
  <si>
    <t>NUTRIDRINK CREME S PŘÍCHUTÍ BANÁNOVOU</t>
  </si>
  <si>
    <t>POR SOL 4X125GM</t>
  </si>
  <si>
    <t>NUTRIDRINK CREME S PŘÍCHUTÍ ČOKOLÁDOVOU</t>
  </si>
  <si>
    <t>NUTRIDRINK CREME S PŘÍCHUTÍ LES.OVOCE</t>
  </si>
  <si>
    <t>4x125ml</t>
  </si>
  <si>
    <t>NUTRIDRINK CREME S PŘÍCHUTÍ VANILKOVOU</t>
  </si>
  <si>
    <t>NUTRIDRINK JUICE STYLE S PŘÍCHUTÍ JABLEČNOU</t>
  </si>
  <si>
    <t>NUTRIDRINK JUICE STYLE S PŘÍCHUTÍ JAHODOVOU</t>
  </si>
  <si>
    <t>NUTRIDRINK PROTEIN S PŘÍCHUTÍ VANILKOVOU</t>
  </si>
  <si>
    <t>NUTRIDRINK S PŘÍCHUTÍ BANÁNOVOU</t>
  </si>
  <si>
    <t>NUTRIDRINK S PŘÍCHUTÍ ČOKOLÁDOVOU</t>
  </si>
  <si>
    <t>NUTRIDRINK S PŘÍCHUTÍ JAHODOVOU</t>
  </si>
  <si>
    <t>NUTRIDRINK S PŘÍCHUTÍ VANILKOVOU</t>
  </si>
  <si>
    <t>NUTRISON</t>
  </si>
  <si>
    <t>POR SOL 8X1000ML</t>
  </si>
  <si>
    <t>POR SOL 1X500ML</t>
  </si>
  <si>
    <t>Nutrison Advanced Diason 1000ml</t>
  </si>
  <si>
    <t>NUTRISON ADVANCED PEPTISORB</t>
  </si>
  <si>
    <t xml:space="preserve">POR SOL 1X1000ML </t>
  </si>
  <si>
    <t>Nutrison Advanced Protison 500ml NOVÝ</t>
  </si>
  <si>
    <t>NUTRISON ENERGY MULTI FIBRE</t>
  </si>
  <si>
    <t>NUTRISON MULTI FIBRE</t>
  </si>
  <si>
    <t>POR SOL 1X1000ML-VA</t>
  </si>
  <si>
    <t>Nutrison Protein Intense 500ml</t>
  </si>
  <si>
    <t>NUTRISON PROTEIN PLUS MULTI FIBRE</t>
  </si>
  <si>
    <t>POR SOL 8X500ML</t>
  </si>
  <si>
    <t>Peptamen Intense 12x500ml</t>
  </si>
  <si>
    <t>PROTIFAR</t>
  </si>
  <si>
    <t>POR PLV SOL 1X225GM</t>
  </si>
  <si>
    <t>RESOURCE DESSERT COMPLETE BROSKEV</t>
  </si>
  <si>
    <t>RESOURCE DESSERT COMPLETE KAKAO</t>
  </si>
  <si>
    <t>RESOURCE DESSERT COMPLETE KARAMEL</t>
  </si>
  <si>
    <t>RESOURCE DESSERT COMPLETE VANILKA</t>
  </si>
  <si>
    <t>léky - krev.deriváty ZUL (TO)</t>
  </si>
  <si>
    <t>ALBUNORM 20%</t>
  </si>
  <si>
    <t>200G/L INF SOL 1X100ML</t>
  </si>
  <si>
    <t>ATENATIV</t>
  </si>
  <si>
    <t>50IU/ML INF PSO LQF 1+1X10ML</t>
  </si>
  <si>
    <t>FLEBOGAMMA DIF</t>
  </si>
  <si>
    <t>50MG/ML INF SOL 1X100ML</t>
  </si>
  <si>
    <t>50MG/ML INF SOL 1X200ML</t>
  </si>
  <si>
    <t>GAMMAGARD S/D</t>
  </si>
  <si>
    <t>50MG/ML INF PSO LQF 1+1X192ML</t>
  </si>
  <si>
    <t>50MG/ML INF PSO LQF 1+1X96ML</t>
  </si>
  <si>
    <t>HAEMOCOMPLETTAN P</t>
  </si>
  <si>
    <t>20MG/ML INJ/INF PLV SOL 1X1000MG</t>
  </si>
  <si>
    <t>20MG/ML INJ/INF PLV SOL 1X2000MG</t>
  </si>
  <si>
    <t>HUMAN ALBUMIN CSL BEHRING</t>
  </si>
  <si>
    <t>OCPLEX</t>
  </si>
  <si>
    <t>500IU INF PSO LQF 1+1X20ML</t>
  </si>
  <si>
    <t>1000IU INF PSO LQF 1+1X40ML</t>
  </si>
  <si>
    <t>léky - hemofilici ZUL (TO)</t>
  </si>
  <si>
    <t>ALBUREX 20</t>
  </si>
  <si>
    <t>FANHDI</t>
  </si>
  <si>
    <t>100IU/ML INJ PSO LQF 1+1X10ML</t>
  </si>
  <si>
    <t>50IU/ML INJ PSO LQF 1+1X10ML</t>
  </si>
  <si>
    <t>léky - antibiotika (LEK)</t>
  </si>
  <si>
    <t>ABAKTAL</t>
  </si>
  <si>
    <t>INJ 10X5ML/400MG</t>
  </si>
  <si>
    <t>AMIKACIN MEDOPHARM 500 MG/2 ML</t>
  </si>
  <si>
    <t>INJ+INF SOL 10X2ML/500MG</t>
  </si>
  <si>
    <t>AMOKSIKLAV 1.2GM</t>
  </si>
  <si>
    <t>INJ SIC 5X1.2GM</t>
  </si>
  <si>
    <t>AMPICILIN 1,0 BIOTIKA</t>
  </si>
  <si>
    <t>INJ PLV SOL 10X1000MG</t>
  </si>
  <si>
    <t>AMPICILLIN AND SULBACTAM IBI 1 G + 500 MG PRÁŠEK P</t>
  </si>
  <si>
    <t>INJ PLV SOL 10X1G+500MG/LAH</t>
  </si>
  <si>
    <t>AMPIPLUS 1000mg/500mg - mimořádný dovoz</t>
  </si>
  <si>
    <t>inj.inf.sol 25 vials</t>
  </si>
  <si>
    <t>ARCHIFAR 1 G</t>
  </si>
  <si>
    <t>INJ+INF PLV SOL 10X1GM</t>
  </si>
  <si>
    <t>AXETINE 1,5GM</t>
  </si>
  <si>
    <t>INJ SIC 10X1.5GM</t>
  </si>
  <si>
    <t>AXETINE 750MG</t>
  </si>
  <si>
    <t>INJ SIC 10X750MG</t>
  </si>
  <si>
    <t>AZEPO 1 G</t>
  </si>
  <si>
    <t>BENEMICIN 150 MG</t>
  </si>
  <si>
    <t>CPS 100X150MG</t>
  </si>
  <si>
    <t>BISEPTOL 480</t>
  </si>
  <si>
    <t>CEFTAZIDIM KABI 1 GM</t>
  </si>
  <si>
    <t>INJ PLV SOL 10X1GM</t>
  </si>
  <si>
    <t>CEFTAZIDIM KABI 2 GM</t>
  </si>
  <si>
    <t>INJ+INF PLV SOL 10X2GM</t>
  </si>
  <si>
    <t>CEFTRIAXON KABI 2 G</t>
  </si>
  <si>
    <t>INF PLV SOL 10X2GM</t>
  </si>
  <si>
    <t>CEFTRIAXON MEDOPHARM 1 G</t>
  </si>
  <si>
    <t>CIFLOXINAL</t>
  </si>
  <si>
    <t>500MG TBL FLM 10</t>
  </si>
  <si>
    <t>POR TBL FLM 10X250MG</t>
  </si>
  <si>
    <t>CIPROFLOXACIN KABI 200 MG/100 ML INFUZNÍ ROZTOK</t>
  </si>
  <si>
    <t>INF SOL 10X200MG/100ML</t>
  </si>
  <si>
    <t>CIPROFLOXACIN KABI 400 MG/200 ML INFUZNÍ ROZTOK</t>
  </si>
  <si>
    <t>INF SOL 10X400MG/200ML</t>
  </si>
  <si>
    <t>Clindamycin Kabi 150mg/ml 10 x 4ml/600mg</t>
  </si>
  <si>
    <t>10 x 4ml /600mg</t>
  </si>
  <si>
    <t>Clindamycin Kabi inj.sol.10x2ml/300mg</t>
  </si>
  <si>
    <t>COLOMYCIN INJEKCE 1 000 000 MJ</t>
  </si>
  <si>
    <t>1000000IU INJ PLV SOL/SOL NEB 10X1MIU</t>
  </si>
  <si>
    <t>DIFICLIR 200 MG</t>
  </si>
  <si>
    <t>POR TBL FLM 2X10X200MG</t>
  </si>
  <si>
    <t>ENTIZOL</t>
  </si>
  <si>
    <t>FRAMYKOIN</t>
  </si>
  <si>
    <t>UNG 1X10GM</t>
  </si>
  <si>
    <t>FUCIDIN</t>
  </si>
  <si>
    <t>CRM 1X15GM 2%</t>
  </si>
  <si>
    <t>FUROLIN TABLETY</t>
  </si>
  <si>
    <t>GENTAMICIN B.BRAUN INF SOL 240MG</t>
  </si>
  <si>
    <t>3MG/ML 20X80ML</t>
  </si>
  <si>
    <t>GENTAMICIN LEK 80 MG/2 ML</t>
  </si>
  <si>
    <t>INJ SOL 10X2ML/80MG</t>
  </si>
  <si>
    <t>KLACID</t>
  </si>
  <si>
    <t>KLACID 500</t>
  </si>
  <si>
    <t>POR TBL FLM 14X500MG</t>
  </si>
  <si>
    <t>KLACID I.V.</t>
  </si>
  <si>
    <t>INF PLV SOL 1X500MG</t>
  </si>
  <si>
    <t>MEROPENEM BRADEX</t>
  </si>
  <si>
    <t>1G INJ/INF PLV SOL 10</t>
  </si>
  <si>
    <t>MEROPENEM KABI 1 G</t>
  </si>
  <si>
    <t>INJ+INF PLV SOL 10X1000MG</t>
  </si>
  <si>
    <t>METRONIDAZOL 500MG BRAUN</t>
  </si>
  <si>
    <t>INJ 10X100ML(LDPE)</t>
  </si>
  <si>
    <t>METRONIDAZOLE NORIDEM</t>
  </si>
  <si>
    <t>5MG/ML INF SOL 20X100ML</t>
  </si>
  <si>
    <t>NORMIX</t>
  </si>
  <si>
    <t>POR TBL FLM 28X200MG</t>
  </si>
  <si>
    <t>OFLOXIN INF</t>
  </si>
  <si>
    <t>INF SOL 10X100ML</t>
  </si>
  <si>
    <t>OPHTHALMO-FRAMYKOIN</t>
  </si>
  <si>
    <t>PAMYCON NA PŘÍPRAVU KAPEK</t>
  </si>
  <si>
    <t>DRM PLV SOL 1X1LAH</t>
  </si>
  <si>
    <t>PIPERACILLIN/TAZOBACTAM KABI 4 G/0,5 G</t>
  </si>
  <si>
    <t>INF PLV SOL 10X4.5GM</t>
  </si>
  <si>
    <t>PROSTAPHLIN 1000MG</t>
  </si>
  <si>
    <t>INJ SIC 1X1000MG</t>
  </si>
  <si>
    <t>SEFOTAK 1 G</t>
  </si>
  <si>
    <t>INJ PLV SOL 1X1GM</t>
  </si>
  <si>
    <t>SUMETROLIM</t>
  </si>
  <si>
    <t>TBL 20X480MG</t>
  </si>
  <si>
    <t>TARGOCID 400MG</t>
  </si>
  <si>
    <t>INJ SIC 1X400MG+SOL</t>
  </si>
  <si>
    <t>TIENAM 500 MG/500 MG I.V.</t>
  </si>
  <si>
    <t>INF PLV SOL 1X10LAH/20ML</t>
  </si>
  <si>
    <t>TOBREX</t>
  </si>
  <si>
    <t>3MG/G OPH UNG 3,5G</t>
  </si>
  <si>
    <t>TYGACIL 50 MG</t>
  </si>
  <si>
    <t>INF PLV SOL 10X50MG/5ML</t>
  </si>
  <si>
    <t>UNASYN</t>
  </si>
  <si>
    <t>INJ PLV SOL 1X1.5GM</t>
  </si>
  <si>
    <t>VANCOMYCIN MYLAN 1000 MG</t>
  </si>
  <si>
    <t>INF PLV SOL 1X1GM</t>
  </si>
  <si>
    <t>VANCOMYCIN MYLAN 500 MG</t>
  </si>
  <si>
    <t>ZINFORO 600 MG</t>
  </si>
  <si>
    <t>INF PLV CSL 10X600MG</t>
  </si>
  <si>
    <t>ZYVOXID</t>
  </si>
  <si>
    <t>INF SOL 10X300ML</t>
  </si>
  <si>
    <t>léky - antimykotika (LEK)</t>
  </si>
  <si>
    <t>FLUCONAZOL KABI 2 MG/ML</t>
  </si>
  <si>
    <t>INF SOL 10X100ML/200MG</t>
  </si>
  <si>
    <t>INF SOL 10X200ML/400MG</t>
  </si>
  <si>
    <t>MYCAMINE 100 MG</t>
  </si>
  <si>
    <t>INF PLV SOL 1X100MG</t>
  </si>
  <si>
    <t>VFEND 200 MG</t>
  </si>
  <si>
    <t>INF PLV SOL 1X200MG</t>
  </si>
  <si>
    <t>VORICONAZOLE TEVA</t>
  </si>
  <si>
    <t>200MG INF PLV SOL 1</t>
  </si>
  <si>
    <t>5931 - IPCHO: JIP 51</t>
  </si>
  <si>
    <t>A02BC02 - PANTOPRAZOL</t>
  </si>
  <si>
    <t>A04AA01 - ONDANSETRON</t>
  </si>
  <si>
    <t>A10BA02 - METFORMIN</t>
  </si>
  <si>
    <t>B01AA03 - WARFARIN</t>
  </si>
  <si>
    <t>B01AB06 - NADROPARIN</t>
  </si>
  <si>
    <t>C01BC03 - PROPAFENON</t>
  </si>
  <si>
    <t>C01BD01 - AMIODARON</t>
  </si>
  <si>
    <t>C01EB15 - TRIMETAZIDIN</t>
  </si>
  <si>
    <t>C02AC05 - MOXONIDIN</t>
  </si>
  <si>
    <t>C02CA04 - DOXAZOSIN</t>
  </si>
  <si>
    <t>C03CA01 - FUROSEMID</t>
  </si>
  <si>
    <t>C05BA01 - ORGANO-HEPARINOID</t>
  </si>
  <si>
    <t>C07AB02 - METOPROLOL</t>
  </si>
  <si>
    <t>C07AB05 - BETAXOLOL</t>
  </si>
  <si>
    <t>C07AB07 - BISOPROLOL</t>
  </si>
  <si>
    <t>C07AB12 - NEBIVOLOL</t>
  </si>
  <si>
    <t>C08CA01 - AMLODIPIN</t>
  </si>
  <si>
    <t>C08CA08 - NITRENDIPIN</t>
  </si>
  <si>
    <t>C08CA13 - LERKANIDIPIN</t>
  </si>
  <si>
    <t>C09AA04 - PERINDOPRIL</t>
  </si>
  <si>
    <t>C09AA05 - RAMIPRIL</t>
  </si>
  <si>
    <t>C09AA09 - FOSINOPRIL</t>
  </si>
  <si>
    <t>C09CA01 - LOSARTAN</t>
  </si>
  <si>
    <t>C09CA07 - TELMISARTAN</t>
  </si>
  <si>
    <t>C09DA07 - TELMISARTAN A DIURETIKA</t>
  </si>
  <si>
    <t>C10AA05 - ATORVASTATIN</t>
  </si>
  <si>
    <t>H01CB02 - OKTREOTID</t>
  </si>
  <si>
    <t>H02AB04 - METHYLPREDNISOLON</t>
  </si>
  <si>
    <t>J01AA12 - TIGECYKLIN</t>
  </si>
  <si>
    <t>J01DC02 - CEFUROXIM</t>
  </si>
  <si>
    <t>J01DD01 - CEFOTAXIM</t>
  </si>
  <si>
    <t>J01DD04 - CEFTRIAXON</t>
  </si>
  <si>
    <t>J01DH02 - MEROPENEM</t>
  </si>
  <si>
    <t>J01FF01 - KLINDAMYCIN</t>
  </si>
  <si>
    <t>J01GB06 - AMIKACIN</t>
  </si>
  <si>
    <t>J01MA03 - PEFLOXACIN</t>
  </si>
  <si>
    <t>J01XA01 - VANKOMYCIN</t>
  </si>
  <si>
    <t>J01XD01 - METRONIDAZOL</t>
  </si>
  <si>
    <t>J01XX08 - LINEZOLID</t>
  </si>
  <si>
    <t>J02AC01 - FLUKONAZOL</t>
  </si>
  <si>
    <t>J02AC03 - VORIKONAZOL</t>
  </si>
  <si>
    <t>J05AB06 - GANCIKLOVIR</t>
  </si>
  <si>
    <t>L03AA02 - FILGRASTIM</t>
  </si>
  <si>
    <t>L04AX01 - AZATHIOPRIN</t>
  </si>
  <si>
    <t>M04AA01 - ALOPURINOL</t>
  </si>
  <si>
    <t>N01AX10 - PROPOFOL</t>
  </si>
  <si>
    <t>N02BB02 - SODNÁ SŮL METAMIZOLU</t>
  </si>
  <si>
    <t>N02BE01 - PARACETAMOL</t>
  </si>
  <si>
    <t>N03AG01 - KYSELINA VALPROOVÁ</t>
  </si>
  <si>
    <t>N03AX12 - GABAPENTIN</t>
  </si>
  <si>
    <t>N03AX14 - LEVETIRACETAM</t>
  </si>
  <si>
    <t>N03AX16 - PREGABALIN</t>
  </si>
  <si>
    <t>N05AL05 - AMISULPRID</t>
  </si>
  <si>
    <t>N05BA12 - ALPRAZOLAM</t>
  </si>
  <si>
    <t>N05CD08 - MIDAZOLAM</t>
  </si>
  <si>
    <t>N05CF02 - ZOLPIDEM</t>
  </si>
  <si>
    <t>N05CM18 - DEXMEDETOMIDIN</t>
  </si>
  <si>
    <t>N06AB05 - PAROXETIN</t>
  </si>
  <si>
    <t>N06AB06 - SERTRALIN</t>
  </si>
  <si>
    <t>N06AX11 - MIRTAZAPIN</t>
  </si>
  <si>
    <t>N07CA01 - BETAHISTIN</t>
  </si>
  <si>
    <t>R03AC02 - SALBUTAMOL</t>
  </si>
  <si>
    <t>R06AE07 - CETIRIZIN</t>
  </si>
  <si>
    <t>S01EE01 - LATANOPROST</t>
  </si>
  <si>
    <t>V03AE02 - SEVELAMER</t>
  </si>
  <si>
    <t>J05AX05 - INOSIN PRANOBEX</t>
  </si>
  <si>
    <t>R03AK07 - FORMOTEROL A BUDESONID</t>
  </si>
  <si>
    <t>C09BX01 - PERINDOPRIL, AMLODIPIN A INDAPAMID</t>
  </si>
  <si>
    <t>A03FA07 - ITOPRIDUM</t>
  </si>
  <si>
    <t>N01AH03 - SUFENTANIL</t>
  </si>
  <si>
    <t>J01DH51 - IMIPENEM A CILASTATIN</t>
  </si>
  <si>
    <t>A10AB05 - INSULIN ASPART</t>
  </si>
  <si>
    <t>J01CR05 - PIPERACILIN A  INHIBITOR BETA-LAKTAMASY</t>
  </si>
  <si>
    <t>H03AA01 - SODNÁ SŮL LEVOTHYROXINU</t>
  </si>
  <si>
    <t>C01CA03 - NOREPINEFRIN</t>
  </si>
  <si>
    <t>C10BA06 - ROSUVASTATIN A EZETIMIB</t>
  </si>
  <si>
    <t>V06XX - POTRAVINY PRO ZVLÁŠTNÍ LÉKAŘSKÉ ÚČELY (PZLÚ) (ČESKÁ ATC SKUP</t>
  </si>
  <si>
    <t>A02BC02</t>
  </si>
  <si>
    <t>214427</t>
  </si>
  <si>
    <t>40MG INJ PLV SOL 1</t>
  </si>
  <si>
    <t>214435</t>
  </si>
  <si>
    <t>20MG TBL ENT 100</t>
  </si>
  <si>
    <t>A03FA07</t>
  </si>
  <si>
    <t>166760</t>
  </si>
  <si>
    <t>50MG TBL FLM 100(10X10)</t>
  </si>
  <si>
    <t>A04AA01</t>
  </si>
  <si>
    <t>187607</t>
  </si>
  <si>
    <t>ONDANSETRON B. BRAUN</t>
  </si>
  <si>
    <t>2MG/ML INJ SOL 20X4ML II</t>
  </si>
  <si>
    <t>A10AB05</t>
  </si>
  <si>
    <t>26786</t>
  </si>
  <si>
    <t>NOVORAPID</t>
  </si>
  <si>
    <t>100U/ML INJ SOL 1X10ML</t>
  </si>
  <si>
    <t>A10BA02</t>
  </si>
  <si>
    <t>191922</t>
  </si>
  <si>
    <t>SIOFOR</t>
  </si>
  <si>
    <t>1000MG TBL FLM 60</t>
  </si>
  <si>
    <t>23793</t>
  </si>
  <si>
    <t>GLUCOPHAGE</t>
  </si>
  <si>
    <t>500MG TBL FLM 5X10</t>
  </si>
  <si>
    <t>B01AA03</t>
  </si>
  <si>
    <t>192342</t>
  </si>
  <si>
    <t>WARFARIN PMCS</t>
  </si>
  <si>
    <t>5MG TBL NOB 100 I</t>
  </si>
  <si>
    <t>94114</t>
  </si>
  <si>
    <t>WARFARIN ORION</t>
  </si>
  <si>
    <t>5MG TBL NOB 100</t>
  </si>
  <si>
    <t>B01AB06</t>
  </si>
  <si>
    <t>213477</t>
  </si>
  <si>
    <t>9500IU/ML INJ SOL 10X5ML</t>
  </si>
  <si>
    <t>213489</t>
  </si>
  <si>
    <t>9500IU/ML INJ SOL ISP 10X0,6ML</t>
  </si>
  <si>
    <t>C01BC03</t>
  </si>
  <si>
    <t>215906</t>
  </si>
  <si>
    <t>RYTMONORM</t>
  </si>
  <si>
    <t>150MG TBL FLM 100</t>
  </si>
  <si>
    <t>215909</t>
  </si>
  <si>
    <t>300MG TBL FLM 100</t>
  </si>
  <si>
    <t>C01BD01</t>
  </si>
  <si>
    <t>107938</t>
  </si>
  <si>
    <t>150MG/3ML INJ SOL 6X3ML</t>
  </si>
  <si>
    <t>13768</t>
  </si>
  <si>
    <t>200MG TBL NOB 60</t>
  </si>
  <si>
    <t>C01CA03</t>
  </si>
  <si>
    <t>216900</t>
  </si>
  <si>
    <t>1MG/ML INF CNC SOL 5X5ML</t>
  </si>
  <si>
    <t>C01EB15</t>
  </si>
  <si>
    <t>178689</t>
  </si>
  <si>
    <t>PROTEVASC</t>
  </si>
  <si>
    <t>35MG TBL PRO 60</t>
  </si>
  <si>
    <t>C02AC05</t>
  </si>
  <si>
    <t>16932</t>
  </si>
  <si>
    <t>MOXOSTAD</t>
  </si>
  <si>
    <t>0,4MG TBL FLM 30</t>
  </si>
  <si>
    <t>C02CA04</t>
  </si>
  <si>
    <t>107794</t>
  </si>
  <si>
    <t>ZOXON</t>
  </si>
  <si>
    <t>4MG TBL NOB 90</t>
  </si>
  <si>
    <t>C03CA01</t>
  </si>
  <si>
    <t>214036</t>
  </si>
  <si>
    <t>2785</t>
  </si>
  <si>
    <t>56804</t>
  </si>
  <si>
    <t>40MG TBL NOB 50</t>
  </si>
  <si>
    <t>56805</t>
  </si>
  <si>
    <t>40MG TBL NOB 100</t>
  </si>
  <si>
    <t>C05BA01</t>
  </si>
  <si>
    <t>3575</t>
  </si>
  <si>
    <t>HEPAROID LÉČIVA</t>
  </si>
  <si>
    <t>2MG/G CRM 30G</t>
  </si>
  <si>
    <t>C07AB02</t>
  </si>
  <si>
    <t>214628</t>
  </si>
  <si>
    <t>231701</t>
  </si>
  <si>
    <t>231703</t>
  </si>
  <si>
    <t>45499</t>
  </si>
  <si>
    <t>100MG TBL PRO 30</t>
  </si>
  <si>
    <t>83974</t>
  </si>
  <si>
    <t>C07AB05</t>
  </si>
  <si>
    <t>49910</t>
  </si>
  <si>
    <t>LOKREN</t>
  </si>
  <si>
    <t>20MG TBL FLM 98</t>
  </si>
  <si>
    <t>C07AB07</t>
  </si>
  <si>
    <t>158692</t>
  </si>
  <si>
    <t>BISOPROLOL MYLAN</t>
  </si>
  <si>
    <t>158697</t>
  </si>
  <si>
    <t>5MG TBL FLM 100</t>
  </si>
  <si>
    <t>233584</t>
  </si>
  <si>
    <t>C07AB12</t>
  </si>
  <si>
    <t>53761</t>
  </si>
  <si>
    <t>5MG TBL NOB 28</t>
  </si>
  <si>
    <t>C08CA01</t>
  </si>
  <si>
    <t>15378</t>
  </si>
  <si>
    <t>AGEN</t>
  </si>
  <si>
    <t>5MG TBL NOB 90</t>
  </si>
  <si>
    <t>2945</t>
  </si>
  <si>
    <t>5MG TBL NOB 30</t>
  </si>
  <si>
    <t>C08CA08</t>
  </si>
  <si>
    <t>128710</t>
  </si>
  <si>
    <t>20MG TBL NOB 98</t>
  </si>
  <si>
    <t>C08CA13</t>
  </si>
  <si>
    <t>169623</t>
  </si>
  <si>
    <t>KAPIDIN</t>
  </si>
  <si>
    <t>10MG TBL FLM 30 II</t>
  </si>
  <si>
    <t>C09AA04</t>
  </si>
  <si>
    <t>101211</t>
  </si>
  <si>
    <t>5MG TBL FLM 90(3X30)</t>
  </si>
  <si>
    <t>101233</t>
  </si>
  <si>
    <t>10MG TBL FLM 90(3X30)</t>
  </si>
  <si>
    <t>C09AA05</t>
  </si>
  <si>
    <t>56972</t>
  </si>
  <si>
    <t>TRITACE</t>
  </si>
  <si>
    <t>1,25MG TBL NOB 20</t>
  </si>
  <si>
    <t>C09AA09</t>
  </si>
  <si>
    <t>200207</t>
  </si>
  <si>
    <t>MONOPRIL</t>
  </si>
  <si>
    <t>20MG TBL NOB 28</t>
  </si>
  <si>
    <t>C09BX01</t>
  </si>
  <si>
    <t>206498</t>
  </si>
  <si>
    <t>C09CA01</t>
  </si>
  <si>
    <t>114067</t>
  </si>
  <si>
    <t>50MG TBL FLM 90 II</t>
  </si>
  <si>
    <t>C09CA07</t>
  </si>
  <si>
    <t>26554</t>
  </si>
  <si>
    <t>MICARDIS</t>
  </si>
  <si>
    <t>80MG TBL NOB 28</t>
  </si>
  <si>
    <t>C09DA07</t>
  </si>
  <si>
    <t>189664</t>
  </si>
  <si>
    <t>TELMISARTAN/HYDROCHLOROTHIAZID SANDOZ</t>
  </si>
  <si>
    <t>80MG/12,5MG TBL FLM 100</t>
  </si>
  <si>
    <t>219612</t>
  </si>
  <si>
    <t>C10AA05</t>
  </si>
  <si>
    <t>93013</t>
  </si>
  <si>
    <t>SORTIS</t>
  </si>
  <si>
    <t>C10BA06</t>
  </si>
  <si>
    <t>225230</t>
  </si>
  <si>
    <t>H01CB02</t>
  </si>
  <si>
    <t>15245</t>
  </si>
  <si>
    <t>SANDOSTATIN</t>
  </si>
  <si>
    <t>0,1MG/ML INJ/INF SOL 5X1ML</t>
  </si>
  <si>
    <t>H02AB04</t>
  </si>
  <si>
    <t>40536</t>
  </si>
  <si>
    <t>40MG/ML INJ SUS 1X5ML</t>
  </si>
  <si>
    <t>9709</t>
  </si>
  <si>
    <t>40MG/ML INJ PSO LQF 40MG+1ML</t>
  </si>
  <si>
    <t>9712</t>
  </si>
  <si>
    <t>62,5MG/ML INJ PSO LQF 1000MG+15,6ML</t>
  </si>
  <si>
    <t>H03AA01</t>
  </si>
  <si>
    <t>172044</t>
  </si>
  <si>
    <t>LETROX</t>
  </si>
  <si>
    <t>150MCG TBL NOB 100</t>
  </si>
  <si>
    <t>187425</t>
  </si>
  <si>
    <t>50MCG TBL NOB 100</t>
  </si>
  <si>
    <t>187427</t>
  </si>
  <si>
    <t>100MCG TBL NOB 100</t>
  </si>
  <si>
    <t>46692</t>
  </si>
  <si>
    <t>EUTHYROX</t>
  </si>
  <si>
    <t>75MCG TBL NOB 100 II</t>
  </si>
  <si>
    <t>69189</t>
  </si>
  <si>
    <t>50MCG TBL NOB 100 II</t>
  </si>
  <si>
    <t>J01AA12</t>
  </si>
  <si>
    <t>26127</t>
  </si>
  <si>
    <t>TYGACIL</t>
  </si>
  <si>
    <t>50MG INF PLV SOL 10</t>
  </si>
  <si>
    <t>J01CR05</t>
  </si>
  <si>
    <t>113453</t>
  </si>
  <si>
    <t>PIPERACILLIN/TAZOBACTAM KABI</t>
  </si>
  <si>
    <t>J01DC02</t>
  </si>
  <si>
    <t>64831</t>
  </si>
  <si>
    <t>AXETINE</t>
  </si>
  <si>
    <t>1,5G INJ/INF PLV SOL 10</t>
  </si>
  <si>
    <t>64835</t>
  </si>
  <si>
    <t>750MG INJ/INF PLV SOL 10</t>
  </si>
  <si>
    <t>J01DD01</t>
  </si>
  <si>
    <t>201030</t>
  </si>
  <si>
    <t>SEFOTAK</t>
  </si>
  <si>
    <t>1G INJ/INF PLV SOL 1</t>
  </si>
  <si>
    <t>J01DD04</t>
  </si>
  <si>
    <t>121240</t>
  </si>
  <si>
    <t>CEFTRIAXON KABI</t>
  </si>
  <si>
    <t>2G INF PLV SOL 10</t>
  </si>
  <si>
    <t>182977</t>
  </si>
  <si>
    <t>CEFTRIAXON MEDOPHARM</t>
  </si>
  <si>
    <t>J01DH02</t>
  </si>
  <si>
    <t>156835</t>
  </si>
  <si>
    <t>MEROPENEM KABI</t>
  </si>
  <si>
    <t>173750</t>
  </si>
  <si>
    <t>183817</t>
  </si>
  <si>
    <t>ARCHIFAR</t>
  </si>
  <si>
    <t>J01DH51</t>
  </si>
  <si>
    <t>142077</t>
  </si>
  <si>
    <t>500MG/500MG INF PLV SOL 10</t>
  </si>
  <si>
    <t>J01FF01</t>
  </si>
  <si>
    <t>129834</t>
  </si>
  <si>
    <t>CLINDAMYCIN KABI</t>
  </si>
  <si>
    <t>150MG/ML INJ SOL/INF CNC SOL 10X2ML</t>
  </si>
  <si>
    <t>129836</t>
  </si>
  <si>
    <t>150MG/ML INJ SOL/INF CNC SOL 10X4ML</t>
  </si>
  <si>
    <t>J01GB06</t>
  </si>
  <si>
    <t>195147</t>
  </si>
  <si>
    <t>AMIKACIN MEDOPHARM</t>
  </si>
  <si>
    <t>500MG/2ML INJ/INF SOL 10X2ML</t>
  </si>
  <si>
    <t>J01MA03</t>
  </si>
  <si>
    <t>94155</t>
  </si>
  <si>
    <t>400MG/5ML INF SOL 10X5ML</t>
  </si>
  <si>
    <t>J01XA01</t>
  </si>
  <si>
    <t>166265</t>
  </si>
  <si>
    <t>VANCOMYCIN MYLAN</t>
  </si>
  <si>
    <t>500MG INF PLV SOL 1</t>
  </si>
  <si>
    <t>166269</t>
  </si>
  <si>
    <t>1000MG INF PLV SOL 1</t>
  </si>
  <si>
    <t>J01XD01</t>
  </si>
  <si>
    <t>11592</t>
  </si>
  <si>
    <t>METRONIDAZOL B. BRAUN</t>
  </si>
  <si>
    <t>5MG/ML INF SOL 10X100ML</t>
  </si>
  <si>
    <t>242332</t>
  </si>
  <si>
    <t>J01XX08</t>
  </si>
  <si>
    <t>3708</t>
  </si>
  <si>
    <t>2MG/ML INF SOL 10X300ML I</t>
  </si>
  <si>
    <t>J02AC01</t>
  </si>
  <si>
    <t>164401</t>
  </si>
  <si>
    <t>FLUCONAZOL KABI</t>
  </si>
  <si>
    <t>2MG/ML INF SOL 10X100ML</t>
  </si>
  <si>
    <t>164407</t>
  </si>
  <si>
    <t>2MG/ML INF SOL 10X200ML</t>
  </si>
  <si>
    <t>J02AC03</t>
  </si>
  <si>
    <t>205772</t>
  </si>
  <si>
    <t>J05AB06</t>
  </si>
  <si>
    <t>16547</t>
  </si>
  <si>
    <t>J05AX05</t>
  </si>
  <si>
    <t>107676</t>
  </si>
  <si>
    <t>500MG TBL NOB 50</t>
  </si>
  <si>
    <t>L03AA02</t>
  </si>
  <si>
    <t>500566</t>
  </si>
  <si>
    <t>ZARZIO</t>
  </si>
  <si>
    <t>30MU/0,5ML INJ/INF SOL ISP 5X0,5ML I</t>
  </si>
  <si>
    <t>L04AX01</t>
  </si>
  <si>
    <t>199645</t>
  </si>
  <si>
    <t>M04AA01</t>
  </si>
  <si>
    <t>127272</t>
  </si>
  <si>
    <t>N01AH03</t>
  </si>
  <si>
    <t>21088</t>
  </si>
  <si>
    <t>SUFENTANIL TORREX</t>
  </si>
  <si>
    <t>50MCG/ML INJ SOL 5X5ML</t>
  </si>
  <si>
    <t>30779</t>
  </si>
  <si>
    <t>5MCG/ML INJ SOL 5X10ML</t>
  </si>
  <si>
    <t>85526</t>
  </si>
  <si>
    <t>N01AX10</t>
  </si>
  <si>
    <t>129027</t>
  </si>
  <si>
    <t>10MG/ML INJ/INF EML 10X100ML</t>
  </si>
  <si>
    <t>18175</t>
  </si>
  <si>
    <t>N02BB02</t>
  </si>
  <si>
    <t>205931</t>
  </si>
  <si>
    <t>216736</t>
  </si>
  <si>
    <t>55823</t>
  </si>
  <si>
    <t>7981</t>
  </si>
  <si>
    <t>500MG/ML INJ SOL 10X2ML</t>
  </si>
  <si>
    <t>N02BE01</t>
  </si>
  <si>
    <t>157875</t>
  </si>
  <si>
    <t>PARACETAMOL KABI</t>
  </si>
  <si>
    <t>10MG/ML INF SOL 10X100ML</t>
  </si>
  <si>
    <t>N03AG01</t>
  </si>
  <si>
    <t>44997</t>
  </si>
  <si>
    <t>DEPAKINE CHRONO 500 MG SÉCABLE</t>
  </si>
  <si>
    <t>500MG TBL RET 100</t>
  </si>
  <si>
    <t>92034</t>
  </si>
  <si>
    <t>DEPAKINE CHRONO 300 MG SÉCABLE</t>
  </si>
  <si>
    <t>300MG TBL RET 100</t>
  </si>
  <si>
    <t>N03AX12</t>
  </si>
  <si>
    <t>84399</t>
  </si>
  <si>
    <t>NEURONTIN</t>
  </si>
  <si>
    <t>300MG CPS DUR 50</t>
  </si>
  <si>
    <t>N03AX14</t>
  </si>
  <si>
    <t>25829</t>
  </si>
  <si>
    <t>KEPPRA</t>
  </si>
  <si>
    <t>250MG TBL FLM 50</t>
  </si>
  <si>
    <t>N03AX16</t>
  </si>
  <si>
    <t>28217</t>
  </si>
  <si>
    <t>LYRICA</t>
  </si>
  <si>
    <t>75MG CPS DUR 56</t>
  </si>
  <si>
    <t>N05AL05</t>
  </si>
  <si>
    <t>44324</t>
  </si>
  <si>
    <t>SOLIAN</t>
  </si>
  <si>
    <t>200MG TBL NOB 150</t>
  </si>
  <si>
    <t>N05BA12</t>
  </si>
  <si>
    <t>6618</t>
  </si>
  <si>
    <t>NEUROL</t>
  </si>
  <si>
    <t>0,5MG TBL NOB 30</t>
  </si>
  <si>
    <t>91788</t>
  </si>
  <si>
    <t>0,25MG TBL NOB 30</t>
  </si>
  <si>
    <t>N05CD08</t>
  </si>
  <si>
    <t>127736</t>
  </si>
  <si>
    <t>MIDAZOLAM ACCORD</t>
  </si>
  <si>
    <t>1MG/ML INJ/INF SOL 10X5ML</t>
  </si>
  <si>
    <t>127737</t>
  </si>
  <si>
    <t>5MG/ML INJ/INF SOL 10X1ML</t>
  </si>
  <si>
    <t>127738</t>
  </si>
  <si>
    <t>5MG/ML INJ/INF SOL 10X3ML</t>
  </si>
  <si>
    <t>184095</t>
  </si>
  <si>
    <t>5MG/ML INJ/INF SOL 10X10ML</t>
  </si>
  <si>
    <t>242707</t>
  </si>
  <si>
    <t>MIDAZOLAM KALCEKS</t>
  </si>
  <si>
    <t>N05CF02</t>
  </si>
  <si>
    <t>146899</t>
  </si>
  <si>
    <t>10MG TBL FLM 50</t>
  </si>
  <si>
    <t>233360</t>
  </si>
  <si>
    <t>10MG TBL FLM 20</t>
  </si>
  <si>
    <t>233366</t>
  </si>
  <si>
    <t>N05CM18</t>
  </si>
  <si>
    <t>136754</t>
  </si>
  <si>
    <t>168651</t>
  </si>
  <si>
    <t>100MCG/ML INF CNC SOL 25X2ML</t>
  </si>
  <si>
    <t>N06AB05</t>
  </si>
  <si>
    <t>30805</t>
  </si>
  <si>
    <t>REMOOD</t>
  </si>
  <si>
    <t>N06AB06</t>
  </si>
  <si>
    <t>195941</t>
  </si>
  <si>
    <t>SERTRALIN APOTEX</t>
  </si>
  <si>
    <t>50MG TBL FLM 100</t>
  </si>
  <si>
    <t>53951</t>
  </si>
  <si>
    <t>ZOLOFT</t>
  </si>
  <si>
    <t>100MG TBL FLM 28</t>
  </si>
  <si>
    <t>N06AX11</t>
  </si>
  <si>
    <t>146071</t>
  </si>
  <si>
    <t>MIRTAZAPIN MYLAN</t>
  </si>
  <si>
    <t>30MG POR TBL DIS 30</t>
  </si>
  <si>
    <t>N07CA01</t>
  </si>
  <si>
    <t>229646</t>
  </si>
  <si>
    <t>16MG TBL NOB 60</t>
  </si>
  <si>
    <t>R03AC02</t>
  </si>
  <si>
    <t>58380</t>
  </si>
  <si>
    <t>VENTOLIN</t>
  </si>
  <si>
    <t>5MG/ML INH SOL 1X20ML</t>
  </si>
  <si>
    <t>R03AK07</t>
  </si>
  <si>
    <t>180081</t>
  </si>
  <si>
    <t>SYMBICORT TURBUHALER 400 MIKROGRAMŮ/12 MIKROGRAMŮ/INHALACE</t>
  </si>
  <si>
    <t>320MCG/9MCG INH PLV 1X60DÁV</t>
  </si>
  <si>
    <t>180098</t>
  </si>
  <si>
    <t>SYMBICORT TURBUHALER 100 MIKROGRAMŮ/6 MIKROGRAMŮ/INHALACE</t>
  </si>
  <si>
    <t>80MCG/4,5MCG INH PLV 1X120DÁV</t>
  </si>
  <si>
    <t>R06AE07</t>
  </si>
  <si>
    <t>5496</t>
  </si>
  <si>
    <t>10MG TBL FLM 60</t>
  </si>
  <si>
    <t>58834</t>
  </si>
  <si>
    <t>10MG/ML POR GTT SOL 1X20ML I</t>
  </si>
  <si>
    <t>66029</t>
  </si>
  <si>
    <t>10MG TBL FLM 10</t>
  </si>
  <si>
    <t>S01EE01</t>
  </si>
  <si>
    <t>199404</t>
  </si>
  <si>
    <t>XALOPTIC</t>
  </si>
  <si>
    <t>0,005%(0,05MG/ML) OPH GTT SOL 3X2,5ML</t>
  </si>
  <si>
    <t>V03AE02</t>
  </si>
  <si>
    <t>127280</t>
  </si>
  <si>
    <t>V06XX</t>
  </si>
  <si>
    <t>217042</t>
  </si>
  <si>
    <t>217052</t>
  </si>
  <si>
    <t>217054</t>
  </si>
  <si>
    <t>217075</t>
  </si>
  <si>
    <t>217079</t>
  </si>
  <si>
    <t>217110</t>
  </si>
  <si>
    <t>217125</t>
  </si>
  <si>
    <t>217127</t>
  </si>
  <si>
    <t>217129</t>
  </si>
  <si>
    <t>217131</t>
  </si>
  <si>
    <t>33036</t>
  </si>
  <si>
    <t>33220</t>
  </si>
  <si>
    <t>POR SOL 1X225G</t>
  </si>
  <si>
    <t>33339</t>
  </si>
  <si>
    <t>33340</t>
  </si>
  <si>
    <t>33423</t>
  </si>
  <si>
    <t>POR SOL 1X1000ML</t>
  </si>
  <si>
    <t>33527</t>
  </si>
  <si>
    <t>33530</t>
  </si>
  <si>
    <t>33578</t>
  </si>
  <si>
    <t>33580</t>
  </si>
  <si>
    <t>33589</t>
  </si>
  <si>
    <t>33749</t>
  </si>
  <si>
    <t>33750</t>
  </si>
  <si>
    <t>33751</t>
  </si>
  <si>
    <t>33752</t>
  </si>
  <si>
    <t>NUTRIDRINK CREME S PŘÍCHUTÍ LESNÍHO OVOCE</t>
  </si>
  <si>
    <t>33847</t>
  </si>
  <si>
    <t>33848</t>
  </si>
  <si>
    <t>33851</t>
  </si>
  <si>
    <t>33855</t>
  </si>
  <si>
    <t>NUTRIDRINK BALÍČEK 5 + 1</t>
  </si>
  <si>
    <t>33858</t>
  </si>
  <si>
    <t>33859</t>
  </si>
  <si>
    <t>33889</t>
  </si>
  <si>
    <t>33891</t>
  </si>
  <si>
    <t>33935</t>
  </si>
  <si>
    <t>33936</t>
  </si>
  <si>
    <t>Přehled plnění pozitivního listu - spotřeba léčivých přípravků - orientační přehled</t>
  </si>
  <si>
    <t>59 - IPCHO: Oddělení int. péče chirurg. oborů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</si>
  <si>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</si>
  <si>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</si>
  <si>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</si>
  <si>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</si>
  <si>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</si>
  <si>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</si>
  <si>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</si>
  <si>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</si>
  <si>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</si>
  <si>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</si>
  <si>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50115089 - ZPr - katetry PICC/MIDLINE (Z554)</t>
  </si>
  <si>
    <t>50115090 - ZPr - zubolékařský materiál (Z509)</t>
  </si>
  <si>
    <t>50115020</t>
  </si>
  <si>
    <t>laboratorní diagnostika-LEK (Z501)</t>
  </si>
  <si>
    <t>DC319</t>
  </si>
  <si>
    <t>AUTOCHECK TM5+/LEVEL1/S7735</t>
  </si>
  <si>
    <t>DC402</t>
  </si>
  <si>
    <t>AUTOCHECK TM5+/LEVEL2/S7745</t>
  </si>
  <si>
    <t>DC320</t>
  </si>
  <si>
    <t>AUTOCHECK TM5+/LEVEL3/S7755</t>
  </si>
  <si>
    <t>DC321</t>
  </si>
  <si>
    <t>AUTOCHECK TM5+/LEVEL4/,S7765</t>
  </si>
  <si>
    <t>DH759</t>
  </si>
  <si>
    <t>Bactec Lytic/ 10 Anaerobic- plastic</t>
  </si>
  <si>
    <t>DH758</t>
  </si>
  <si>
    <t>Bactec Plus Aerobic-plastic</t>
  </si>
  <si>
    <t>DH594</t>
  </si>
  <si>
    <t>Cartridge complete k tromboelastografu ROTEM</t>
  </si>
  <si>
    <t>DG395</t>
  </si>
  <si>
    <t>Diagnostická souprava AB0 set monoklonální na 30</t>
  </si>
  <si>
    <t>DiagnostickĂˇ souprava AB0 set monoklonĂˇlnĂ­ na 30</t>
  </si>
  <si>
    <t>DG379</t>
  </si>
  <si>
    <t>Doprava 21%</t>
  </si>
  <si>
    <t>DE022</t>
  </si>
  <si>
    <t>Glukózová membránová souprava</t>
  </si>
  <si>
    <t>DF171</t>
  </si>
  <si>
    <t>KALIBRAÄŚNĂŤ ROZTOK 1  S1820 (ABL 825)</t>
  </si>
  <si>
    <t>DF166</t>
  </si>
  <si>
    <t>KALIBRAÄŚNĂŤ ROZTOK 2  S1830 (ABL 825)</t>
  </si>
  <si>
    <t>DB437</t>
  </si>
  <si>
    <t>KALIBRACNI PLYN 1(10 bar)</t>
  </si>
  <si>
    <t>DC853</t>
  </si>
  <si>
    <t>KALIBRACNI PLYN 2</t>
  </si>
  <si>
    <t>KALIBRAČNÍ ROZTOK 1  S1820 (ABL 825)</t>
  </si>
  <si>
    <t>KALIBRAČNÍ ROZTOK 2  S1830 (ABL 825)</t>
  </si>
  <si>
    <t>DD309</t>
  </si>
  <si>
    <t>LaktĂˇtovĂˇ membrĂˇnovĂˇ souprava</t>
  </si>
  <si>
    <t>Laktátová membránová souprava</t>
  </si>
  <si>
    <t>DC959</t>
  </si>
  <si>
    <t>MEMBRĂNOVĂ SOUPRAVA  Na+</t>
  </si>
  <si>
    <t>DD268</t>
  </si>
  <si>
    <t>MEMBRÁNOVÁ SOUPRAVA Ca</t>
  </si>
  <si>
    <t>DD269</t>
  </si>
  <si>
    <t>MEMBRÁNOVÁ SOUPRAVA Cl</t>
  </si>
  <si>
    <t>MEMBRĂNOVĂ SOUPRAVA Cl</t>
  </si>
  <si>
    <t>DD267</t>
  </si>
  <si>
    <t>MEMBRÁNOVÁ SOUPRAVA K+</t>
  </si>
  <si>
    <t>MEMBRĂNOVĂ SOUPRAVA K+</t>
  </si>
  <si>
    <t>DB942</t>
  </si>
  <si>
    <t>MEMBRÁNOVÁ SOUPRAVA pCO2</t>
  </si>
  <si>
    <t>DD076</t>
  </si>
  <si>
    <t>MEMBRÁNOVÁ SOUPRAVA pO2</t>
  </si>
  <si>
    <t>MEMBRĂNOVĂ SOUPRAVA pO2</t>
  </si>
  <si>
    <t>DD075</t>
  </si>
  <si>
    <t>MEMBRÁNOVÁ SOUPRAVA REF.</t>
  </si>
  <si>
    <t>MEMBRĂNOVĂ SOUPRAVA REF.</t>
  </si>
  <si>
    <t>DF170</t>
  </si>
  <si>
    <t>NOVĂť ÄŚISTĂŤCĂŤ ROZTOK s aditivem, S8375 (ABL 825)</t>
  </si>
  <si>
    <t>NOVÝ ČISTÍCÍ ROZTOK s aditivem, S8375 (ABL 825)</t>
  </si>
  <si>
    <t>DF445</t>
  </si>
  <si>
    <t>Odpadni nadoba D512 600 ml</t>
  </si>
  <si>
    <t>DF169</t>
  </si>
  <si>
    <t>PROPLACHOVACĂŤ ROZTOK 600 ml S4980 (ABL 825)</t>
  </si>
  <si>
    <t>PROPLACHOVACÍ ROZTOK 600 ml S4980 (ABL 825)</t>
  </si>
  <si>
    <t>DA002</t>
  </si>
  <si>
    <t>PROUZKY TETRAPHAN DIA  KATALOGO</t>
  </si>
  <si>
    <t>DC634</t>
  </si>
  <si>
    <t>THB KALIBRAÄŚNĂŤ ROZTOK,S7770</t>
  </si>
  <si>
    <t>50115040</t>
  </si>
  <si>
    <t>laboratorní materiál (Z505)</t>
  </si>
  <si>
    <t>ZC081</t>
  </si>
  <si>
    <t>Močoměr bez teploměru 710363</t>
  </si>
  <si>
    <t>50115050</t>
  </si>
  <si>
    <t>obvazový materiál (Z502)</t>
  </si>
  <si>
    <t>ZF749</t>
  </si>
  <si>
    <t>Fixace nosních katetrů nasofix niko střední S+M, bal. á 100 ks 49-625-S-M</t>
  </si>
  <si>
    <t>ZL978</t>
  </si>
  <si>
    <t>Kanystr renasys GO 300 ml pro podtlakovou terapii 66800914</t>
  </si>
  <si>
    <t>ZA454</t>
  </si>
  <si>
    <t>Kompresa AB 10 x 10 cm/1 ks sterilní NT savá (1230114011) 1327114011</t>
  </si>
  <si>
    <t>ZA459</t>
  </si>
  <si>
    <t>Kompresa AB 10 x 20 cm/1 ks sterilnĂ­ NT savĂˇ (1230114021) 1327114021</t>
  </si>
  <si>
    <t>Kompresa AB 10 x 20 cm/1 ks sterilní NT savá (1230114021) 1327114021</t>
  </si>
  <si>
    <t>ZC846</t>
  </si>
  <si>
    <t>Kompresa AB 15 x 25 cm/1 ks sterilnĂ­ NT savĂˇ (1230114031) 1327114031</t>
  </si>
  <si>
    <t>Kompresa AB 15 x 25 cm/1 ks sterilní NT savá (1230114031) 1327114031</t>
  </si>
  <si>
    <t>ZA563</t>
  </si>
  <si>
    <t>Kompresa AB 20 x 20 cm/1 ks sterilní NT savá (1230114041) 1327114041</t>
  </si>
  <si>
    <t>ZA561</t>
  </si>
  <si>
    <t>Kompresa AB 20 x 40 cm/1 ks sterilnĂ­ NT savĂˇ (1230114051) 1327114051</t>
  </si>
  <si>
    <t>Kompresa AB 20 x 40 cm/1 ks sterilní NT savá (1230114051) 1327114051</t>
  </si>
  <si>
    <t>ZA539</t>
  </si>
  <si>
    <t>Kompresa NT 10 x 10 cm nesterilní 06103</t>
  </si>
  <si>
    <t>ZC506</t>
  </si>
  <si>
    <t>Kompresa NT 10 x 10 cm/5 ks sterilnĂ­ 1325020275</t>
  </si>
  <si>
    <t>Kompresa NT 10 x 10 cm/5 ks sterilní 1325020275</t>
  </si>
  <si>
    <t>ZC845</t>
  </si>
  <si>
    <t>Kompresa NT 10 x 20 cm/5 ks sterilnĂ­ 26621</t>
  </si>
  <si>
    <t>Kompresa NT 10 x 20 cm/5 ks sterilní 26621</t>
  </si>
  <si>
    <t>ZK087</t>
  </si>
  <si>
    <t>KrĂ©m cavilon ochrannĂ˝ bariĂ©rovĂ˝ Ăˇ 28 g bal. Ăˇ 12 ks 3391E</t>
  </si>
  <si>
    <t>Krém cavilon ochranný bariérový á 28 g bal. á 12 ks 3391E</t>
  </si>
  <si>
    <t>ZD819</t>
  </si>
  <si>
    <t>KrytĂ­ debrisoft 10 x 10 cm bal. Ăˇ 5 ks 31222</t>
  </si>
  <si>
    <t>ZH403</t>
  </si>
  <si>
    <t>KrytĂ­ excilon 5 x 5 cm NT i.v. s nĂˇstĹ™ihem do kĹ™Ă­Ĺľe antiseptickĂ˝ bal. Ăˇ 70 ks 7089</t>
  </si>
  <si>
    <t>ZD482</t>
  </si>
  <si>
    <t>KrytĂ­ filmovĂ© transparentnĂ­ Opsite spray 240 ml bal. Ăˇ 12 ks 66004980</t>
  </si>
  <si>
    <t>ZA664</t>
  </si>
  <si>
    <t>KrytĂ­ gelovĂ© hydrokoloidnĂ­ Flamigel 250 ml FLAM250</t>
  </si>
  <si>
    <t>ZK405</t>
  </si>
  <si>
    <t>KrytĂ­ hemostatickĂ© gelitaspon standard 80 x 50 mm x 10 mm bal. Ăˇ 10 ks A2107861</t>
  </si>
  <si>
    <t>ZJ687</t>
  </si>
  <si>
    <t>KrytĂ­ hemostatickĂ© gelitaspon tampon   80 x 30 mm bal. Ăˇ 5 ks GS -210</t>
  </si>
  <si>
    <t>ZA550</t>
  </si>
  <si>
    <t>KrytĂ­ hydrogelovĂ© nu-gel 25 g bal. Ăˇ 6 ks MNG425</t>
  </si>
  <si>
    <t>ZA544</t>
  </si>
  <si>
    <t>KrytĂ­ inadine nepĹ™ilnavĂ© 5,0 x 5,0 cm 1/10 SYS01481EE</t>
  </si>
  <si>
    <t>ZA547</t>
  </si>
  <si>
    <t>KrytĂ­ inadine nepĹ™ilnavĂ© 9,5 x 9,5 cm 1/10 SYS01512EE</t>
  </si>
  <si>
    <t>ZO429</t>
  </si>
  <si>
    <t>KrytĂ­ Lavanid 1 roztok 0,02% Polyhexanid 1000 ml bal. Ăˇ 6 ks 014127</t>
  </si>
  <si>
    <t>ZO430</t>
  </si>
  <si>
    <t>KrytĂ­ Lavanid 2 roztok 0,04% Polyhexanid 1000 ml bal. Ăˇ 6 ks 014227</t>
  </si>
  <si>
    <t>ZO431</t>
  </si>
  <si>
    <t>KrytĂ­ Lavanid gel na rĂˇny stĹ™Ă­kaÄŤka Ăˇ 10 g bal. Ăˇ 12 ks 015271</t>
  </si>
  <si>
    <t>ZF042</t>
  </si>
  <si>
    <t>KrytĂ­ mastnĂ˝ tyl jelonet 10 x 10 cm Ăˇ 10 ks 7404</t>
  </si>
  <si>
    <t>ZL662</t>
  </si>
  <si>
    <t>KrytĂ­ mastnĂ˝ tyl pharmatull   5 x   5 cm bal. Ăˇ 10 ks P-Tull5050</t>
  </si>
  <si>
    <t>ZL664</t>
  </si>
  <si>
    <t>KrytĂ­ mastnĂ˝ tyl pharmatull 10 x 20 cm bal. Ăˇ 10 ks P-Tull1020</t>
  </si>
  <si>
    <t>ZB571</t>
  </si>
  <si>
    <t>KrytĂ­ melgisorb Ag alginĂˇtovĂ© 5 x 5 cm bal. Ăˇ 10 ks 256055</t>
  </si>
  <si>
    <t>ZC550</t>
  </si>
  <si>
    <t>KrytĂ­ mepilex silikonovĂ˝ Ag 10 x 10 cm bal. Ăˇ 5 ks 287110-00</t>
  </si>
  <si>
    <t>ZO458</t>
  </si>
  <si>
    <t>KrytĂ­ mepilex transfer Ag 10 x 12,5 cm bal. Ăˇ 5 ks 394100-00</t>
  </si>
  <si>
    <t>ZD631</t>
  </si>
  <si>
    <t>KrytĂ­ pharmafoam-trach. s vĂ˝Ĺ™ezem 8 x 8 cm bal. Ăˇ 10 ks P-Tracheo 808</t>
  </si>
  <si>
    <t>ZN815</t>
  </si>
  <si>
    <t>KrytĂ­ roztok k ÄŤiĹˇtÄ›nĂ­ a hojennĂ­ ran ActiMaris Forte 300 ml 3098077</t>
  </si>
  <si>
    <t>ZO128</t>
  </si>
  <si>
    <t>KrytĂ­ roztok k vĂ˝plachu a ÄŤiĹˇtÄ›nĂ­ ran ActiMaris Sensitiv 1000 ml 3098119</t>
  </si>
  <si>
    <t>ZN816</t>
  </si>
  <si>
    <t>KrytĂ­ roztok k vĂ˝plachu a ÄŤiĹˇtÄ›nĂ­ ran ActiMaris Sensitiv 300 ml 3098093</t>
  </si>
  <si>
    <t>ZC702</t>
  </si>
  <si>
    <t>KrytĂ­ tegaderm   6,0 cm x  7,0 cm bal. Ăˇ 100 ks 1624W</t>
  </si>
  <si>
    <t>ZA324</t>
  </si>
  <si>
    <t>KrytĂ­ tegaderm 10,0 cm x 12,0 cm bal. Ăˇ 50 ks 1626W</t>
  </si>
  <si>
    <t>ZL669</t>
  </si>
  <si>
    <t>KrytĂ­ tegaderm diamond 10,0 cm x 12,0 cm bal. Ăˇ 50 ks 1686</t>
  </si>
  <si>
    <t>ZA478</t>
  </si>
  <si>
    <t>Krytí actisorb plus 10,5 x 10,5 cm bal. á 10 ks s aktivním uhlím SYSMAP105EE</t>
  </si>
  <si>
    <t>ZA564</t>
  </si>
  <si>
    <t>Krytí curagard SP fixace kanyl pro dospělé tvar omega sterilní 6,5 x 7,5 cm bal. á 100 ks (náhrada za Tegaderm i. v.) 30117</t>
  </si>
  <si>
    <t>Krytí debrisoft 10 x 10 cm bal. á 5 ks 31222</t>
  </si>
  <si>
    <t>Krytí filmové transparentní Opsite spray 240 ml bal. á 12 ks 66004980</t>
  </si>
  <si>
    <t>Krytí gelové hydrokoloidní Flamigel 250 ml FLAM250</t>
  </si>
  <si>
    <t>Krytí hemostatické gelitaspon standard 80 x 50 mm x 10 mm bal. á 10 ks A2107861</t>
  </si>
  <si>
    <t>ZP328</t>
  </si>
  <si>
    <t>Krytí hemostatické traumacel FAM trium 2,5 x 5 cm bal. á 10 ks 10131</t>
  </si>
  <si>
    <t>ZP329</t>
  </si>
  <si>
    <t>Krytí hemostatické traumacel FAM trium 5 x 10 cm bal. á 10 ks 10132</t>
  </si>
  <si>
    <t>Krytí hydrogelové nu-gel 25 g bal. á 6 ks MNG425</t>
  </si>
  <si>
    <t>Krytí inadine nepřilnavé 5,0 x 5,0 cm 1/10 SYS01481EE</t>
  </si>
  <si>
    <t>Krytí inadine nepřilnavé 9,5 x 9,5 cm 1/10 SYS01512EE</t>
  </si>
  <si>
    <t>Krytí Lavanid 1 roztok 0,02% Polyhexanid 1000 ml bal. á 6 ks 014127</t>
  </si>
  <si>
    <t>Krytí Lavanid 2 roztok 0,04% Polyhexanid 1000 ml bal. á 6 ks 014227</t>
  </si>
  <si>
    <t>Krytí Lavanid gel na rány stříkačka á 10 g bal. á 12 ks 015271</t>
  </si>
  <si>
    <t>ZA486</t>
  </si>
  <si>
    <t>Krytí mastný tyl jelonet   5 x 5 cm á 50 ks 7403</t>
  </si>
  <si>
    <t>Krytí mastný tyl jelonet 10 x 10 cm á 10 ks 7404</t>
  </si>
  <si>
    <t>Krytí mastný tyl pharmatull   5 x   5 cm bal. á 10 ks P-Tull5050</t>
  </si>
  <si>
    <t>Krytí mastný tyl pharmatull 10 x 20 cm bal. á 10 ks P-Tull1020</t>
  </si>
  <si>
    <t>Krytí melgisorb Ag alginátové 5 x 5 cm bal. á 10 ks 256055</t>
  </si>
  <si>
    <t>ZE748</t>
  </si>
  <si>
    <t>Krytí melgisorb Ag alginátové absorpční 10 x 10 cm bal. á 10 ks 256105</t>
  </si>
  <si>
    <t>ZD633</t>
  </si>
  <si>
    <t>Krytí mepilex border sacrum 18 x 18 cm bal. á 5 ks 282000-01</t>
  </si>
  <si>
    <t>ZD634</t>
  </si>
  <si>
    <t>Krytí mepilex border sacrum 23 x 23 cm bal. á 5 ks 282400-01</t>
  </si>
  <si>
    <t>ZA505</t>
  </si>
  <si>
    <t>Krytí mepore film 15 x 20 cm bal. á 10 ks 273000-02</t>
  </si>
  <si>
    <t>Krytí roztok k čištění a hojenní ran ActiMaris Forte 300 ml 3098077</t>
  </si>
  <si>
    <t>Krytí roztok k výplachu a čištění ran ActiMaris Sensitiv 1000 ml 3098119</t>
  </si>
  <si>
    <t>Krytí roztok k výplachu a čištění ran ActiMaris Sensitiv 300 ml 3098093</t>
  </si>
  <si>
    <t>ZA645</t>
  </si>
  <si>
    <t>Krytí s mastí atrauman 5 x 5 cm bal. á 10 ks 499571</t>
  </si>
  <si>
    <t>Krytí tegaderm   6,0 cm x  7,0 cm bal. á 100 ks 1624W</t>
  </si>
  <si>
    <t>Krytí tegaderm 10,0 cm x 12,0 cm bal. á 50 ks 1626W</t>
  </si>
  <si>
    <t>ZA655</t>
  </si>
  <si>
    <t>Krytí tegaderm 11,5 cm x 12,0 cm bal. á 12 ks 9543HP</t>
  </si>
  <si>
    <t>ZA479</t>
  </si>
  <si>
    <t>Krytí tielle pěnové 11 x 11 cm bal. á 10 ks SYS MTL101 EE</t>
  </si>
  <si>
    <t>ZA562</t>
  </si>
  <si>
    <t>NĂˇplast cosmopor i. v. 6 x 8 cm bal. Ăˇ 50 ks 9008054</t>
  </si>
  <si>
    <t>ZI558</t>
  </si>
  <si>
    <t>NĂˇplast curapor   7 x   5 cm 32912  (22120,  nĂˇhrada za cosmopor )</t>
  </si>
  <si>
    <t>ZI599</t>
  </si>
  <si>
    <t>NĂˇplast curapor 10 x   8 cm 32913 ( 22121,  nĂˇhrada za cosmopor )</t>
  </si>
  <si>
    <t>ZI600</t>
  </si>
  <si>
    <t>NĂˇplast curapor 10 x 15 cm 32914 ( nĂˇhrada za cosmopor )</t>
  </si>
  <si>
    <t>ZI601</t>
  </si>
  <si>
    <t>NĂˇplast curapor 10 x 20 cm 32915 ( nĂˇhrada za cosmopor )</t>
  </si>
  <si>
    <t>ZI602</t>
  </si>
  <si>
    <t>NĂˇplast curapor 10 x 34 cm 32918 ( nĂˇhrada za cosmopor )</t>
  </si>
  <si>
    <t>ZA418</t>
  </si>
  <si>
    <t>NĂˇplast metaline pod TS 8 x 9 cm 23094</t>
  </si>
  <si>
    <t>ZH012</t>
  </si>
  <si>
    <t>NĂˇplast micropore 2,50 cm x 9,10 m 840W-1</t>
  </si>
  <si>
    <t>ZA419</t>
  </si>
  <si>
    <t>NĂˇplast octacare cotton tape- betaplast 10 cm x 5 m (510W) 10510</t>
  </si>
  <si>
    <t>ZC885</t>
  </si>
  <si>
    <t>NĂˇplast omnifix E 10 cm x 10 m 900650</t>
  </si>
  <si>
    <t>ZD111</t>
  </si>
  <si>
    <t>NĂˇplast omnifix E 5 cm x 10 m 9006493</t>
  </si>
  <si>
    <t>ZA451</t>
  </si>
  <si>
    <t>NĂˇplast omniplast 5,0 cm x 9,2 m 9004540 (900429)</t>
  </si>
  <si>
    <t>ZA318</t>
  </si>
  <si>
    <t>NĂˇplast transpore 1,25 cm x 9,14 m 1527-0</t>
  </si>
  <si>
    <t>ZF352</t>
  </si>
  <si>
    <t>NĂˇplast transpore bĂ­lĂˇ 2,50 cm x 9,14 m bal. Ăˇ 12 ks 1534-1</t>
  </si>
  <si>
    <t>ZA542</t>
  </si>
  <si>
    <t>NĂˇplast wet pruf voduvzd. 1,25 cm x 9,14 m bal. Ăˇ 24 ks K00-3063C</t>
  </si>
  <si>
    <t>Náplast cosmopor i. v. 6 x 8 cm bal. á 50 ks 9008054</t>
  </si>
  <si>
    <t>Náplast curapor   7 x   5 cm 32912  (22120,  náhrada za cosmopor )</t>
  </si>
  <si>
    <t>Náplast curapor 10 x   8 cm 32913 ( 22121,  náhrada za cosmopor )</t>
  </si>
  <si>
    <t>Náplast curapor 10 x 15 cm 32914 ( náhrada za cosmopor )</t>
  </si>
  <si>
    <t>Náplast curapor 10 x 20 cm 32915 ( náhrada za cosmopor )</t>
  </si>
  <si>
    <t>Náplast curapor 10 x 34 cm 32918 ( náhrada za cosmopor )</t>
  </si>
  <si>
    <t>Náplast metaline pod TS 8 x 9 cm 23094</t>
  </si>
  <si>
    <t>Náplast micropore 2,50 cm x 9,10 m 840W-1</t>
  </si>
  <si>
    <t>Náplast octacare cotton tape- betaplast 10 cm x 5 m (510W) 10510</t>
  </si>
  <si>
    <t>Náplast omnifix E 10 cm x 10 m 900650</t>
  </si>
  <si>
    <t>Náplast omnifix E 5 cm x 10 m 9006493</t>
  </si>
  <si>
    <t>Náplast omniplast 5,0 cm x 9,2 m 9004540 (900429)</t>
  </si>
  <si>
    <t>Náplast transpore 1,25 cm x 9,14 m 1527-0</t>
  </si>
  <si>
    <t>Náplast transpore bílá 2,50 cm x 9,14 m bal. á 12 ks 1534-1</t>
  </si>
  <si>
    <t>Náplast wet pruf voduvzd. 1,25 cm x 9,14 m bal. á 24 ks K00-3063C</t>
  </si>
  <si>
    <t>ZN475</t>
  </si>
  <si>
    <t>Obinadlo elastickĂ© universal   8 cm x 5 m 1323100312</t>
  </si>
  <si>
    <t>ZN478</t>
  </si>
  <si>
    <t>Obinadlo elastickĂ© universal 10 cm x 5 m 1323100313</t>
  </si>
  <si>
    <t>ZN477</t>
  </si>
  <si>
    <t>Obinadlo elastickĂ© universal 12 cm x 5 m 1323100314</t>
  </si>
  <si>
    <t>ZN476</t>
  </si>
  <si>
    <t>Obinadlo elastickĂ© universal 15 cm x 5 m 1323100315</t>
  </si>
  <si>
    <t>Obinadlo elastické universal 10 cm x 5 m 1323100313</t>
  </si>
  <si>
    <t>Obinadlo elastické universal 12 cm x 5 m 1323100314</t>
  </si>
  <si>
    <t>Obinadlo elastické universal 15 cm x 5 m 1323100315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</si>
  <si>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</si>
  <si>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</si>
  <si>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</si>
  <si>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</si>
  <si>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</si>
  <si>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</si>
  <si>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ZP301</t>
  </si>
  <si>
    <t>Obvaz elastickĂ˝ sĂ­ĹĄovĂ˝ pruban Tg-fix vel. E silnÄ›jĹˇĂ­ trup, kyÄŤel, podpaĹľdĂ­ 25 m 24254</t>
  </si>
  <si>
    <t>ZP212</t>
  </si>
  <si>
    <t>Obvaz elastický síťový pruban Tg-fix vel. C paže, noha, loket 25 m 24252</t>
  </si>
  <si>
    <t>ZP221</t>
  </si>
  <si>
    <t>Obvaz elastický síťový pruban Tg-fix vel. D větší hlava, slabší trup 25 m 24253</t>
  </si>
  <si>
    <t>Obvaz elastický síťový pruban Tg-fix vel. E silnější trup, kyčel, podpaždí 25 m 24254</t>
  </si>
  <si>
    <t>ZA067</t>
  </si>
  <si>
    <t>PĂˇs bĹ™iĹˇnĂ­ - Verba ÄŤ. 3 - 85 - 95 cm 932533</t>
  </si>
  <si>
    <t>ZA066</t>
  </si>
  <si>
    <t>PĂˇs bĹ™iĹˇnĂ­ - Verba ÄŤ. 4 - 95 - 105 cm 932534</t>
  </si>
  <si>
    <t>ZA065</t>
  </si>
  <si>
    <t>PĂˇs bĹ™iĹˇnĂ­ - Verba ÄŤ. 5 - 105 - 115 cm 932535</t>
  </si>
  <si>
    <t>ZG893</t>
  </si>
  <si>
    <t>RouĹˇka proĹˇĂ­vanĂˇ na popĂˇleniny 40 x 60 cm karton Ăˇ 30 ks 28510</t>
  </si>
  <si>
    <t>Rouška prošívaná na popáleniny 40 x 60 cm karton á 30 ks 28510</t>
  </si>
  <si>
    <t>ZL999</t>
  </si>
  <si>
    <t>Rychloobvaz 8 x 4 cm 001445510</t>
  </si>
  <si>
    <t>ZD616</t>
  </si>
  <si>
    <t>Set na malĂ© zĂˇkroky sterilnĂ­ pro moÄŤovou katetrizaci+ aqua permanent 4 Mediset 4753886</t>
  </si>
  <si>
    <t>ZA572</t>
  </si>
  <si>
    <t>Set sterilní pro převaz rány Mediset bal. 75 ks 4706321</t>
  </si>
  <si>
    <t>ZA575</t>
  </si>
  <si>
    <t>Set sterilní pro žilní katetrizaci-basic Mediset bal. á 15 ks 4552732</t>
  </si>
  <si>
    <t>ZA615</t>
  </si>
  <si>
    <t>TampĂłn cavilon 1 ml bal. Ăˇ 25 ks 3343E</t>
  </si>
  <si>
    <t>Tampón cavilon 1 ml bal. á 25 ks 3343E</t>
  </si>
  <si>
    <t>ZK561</t>
  </si>
  <si>
    <t>Tampon nesterilnĂ­ NT 20 x 20 pr. 35 mm 12 x 250 ks 1320104211</t>
  </si>
  <si>
    <t>ZA502</t>
  </si>
  <si>
    <t>Tampon nesterilnĂ­ stĂˇÄŤenĂ˝ 30 x 60 cm 1320300406</t>
  </si>
  <si>
    <t>Tampon nesterilní NT 20 x 20 pr. 35 mm 12 x 250 ks 1320104211</t>
  </si>
  <si>
    <t>Tampon nesterilní stáčený 30 x 60 cm 1320300406</t>
  </si>
  <si>
    <t>ZA593</t>
  </si>
  <si>
    <t>Tampon sterilnĂ­ stĂˇÄŤenĂ˝ 20 x 20 cm / 5 ks 28003+</t>
  </si>
  <si>
    <t>Tampon sterilní stáčený 20 x 20 cm / 5 ks 28003+</t>
  </si>
  <si>
    <t>ZA617</t>
  </si>
  <si>
    <t>Tampon TC-OC k oĹˇetĹ™enĂ­ dutiny ĂşstnĂ­ Ăˇ 250 ks 12240</t>
  </si>
  <si>
    <t>Tampon TC-OC k ošetření dutiny ústní á 250 ks 12240</t>
  </si>
  <si>
    <t>ZM769</t>
  </si>
  <si>
    <t>Ubrousky cavilon pro pĂ©ÄŤi pĹ™i inkontinenci 8 ubrouskĹŻ 20 x 30 cm bal. Ăˇ 96 ks 9274 DH888843488</t>
  </si>
  <si>
    <t>Ubrousky cavilon pro péči při inkontinenci 8 ubrousků 20 x 30 cm bal. á 96 ks 9274 DH888843488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</si>
  <si>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</si>
  <si>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</si>
  <si>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</si>
  <si>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</si>
  <si>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Vata buničitá dělená cellin 2 role / 500 ks 40 x 50 mm 1230206310</t>
  </si>
  <si>
    <t>Vata buničitá přířezy 20 x 30 cm 1230200129</t>
  </si>
  <si>
    <t>ZA530</t>
  </si>
  <si>
    <t>VloĹľky hygienickĂ© samu 7162212</t>
  </si>
  <si>
    <t>Vložky hygienické samu 7162212</t>
  </si>
  <si>
    <t>50115060</t>
  </si>
  <si>
    <t>ZPr - ostatní (Z503)</t>
  </si>
  <si>
    <t>ZQ861</t>
  </si>
  <si>
    <t>AdaptĂ©r bolusovĂ˝ ke stĹ™Ă­kaÄŤce injekÄŤnĂ­ pro enterĂˇlnĂ­ vĂ˝Ĺľivu NUTRICIA ENFIT (na kusy) 589740</t>
  </si>
  <si>
    <t>ZB557</t>
  </si>
  <si>
    <t>AdaptĂ©r pĹ™echodka combifix rekord - luer 4090306</t>
  </si>
  <si>
    <t>ZB621</t>
  </si>
  <si>
    <t>AdaptĂ©r respiflo MN 1072</t>
  </si>
  <si>
    <t>Adaptér bolusový ke stříkačce injekční pro enterální výživu NUTRICIA ENFIT (na kusy) 589740</t>
  </si>
  <si>
    <t>Adaptér bolusový ke stříkačce injekční pro enterální výživu NUTRICIA ENFIT bal. á 30 ks 589740</t>
  </si>
  <si>
    <t>Adaptér přechodka combifix rekord - luer 4090306</t>
  </si>
  <si>
    <t>Adaptér respiflo MN 1072</t>
  </si>
  <si>
    <t>ZD650</t>
  </si>
  <si>
    <t>Aquapak - sterilnĂ­ voda 340 ml s adaptĂ©rem bal. Ăˇ 20 ks 400340</t>
  </si>
  <si>
    <t>Aquapak - sterilní voda 340 ml s adaptérem bal. á 20 ks 400340</t>
  </si>
  <si>
    <t>ZN618</t>
  </si>
  <si>
    <t>BrĂ˝le kyslĂ­kovĂ© pro dospÄ›lĂ© bal. Ăˇ 100 ks A0100</t>
  </si>
  <si>
    <t>Brýle kyslíkové pro dospělé bal. á 100 ks A0100</t>
  </si>
  <si>
    <t>ZK975</t>
  </si>
  <si>
    <t>CĂ©vka odsĂˇvacĂ­ CH10 s pĹ™eruĹˇovaÄŤem sĂˇnĂ­, dĂ©lka 50 cm, P01169a</t>
  </si>
  <si>
    <t>ZK976</t>
  </si>
  <si>
    <t>CĂ©vka odsĂˇvacĂ­ CH12 s pĹ™eruĹˇovaÄŤem sĂˇnĂ­, dĂ©lka 50 cm, P01171a</t>
  </si>
  <si>
    <t>ZK977</t>
  </si>
  <si>
    <t>CĂ©vka odsĂˇvacĂ­ CH14 s pĹ™eruĹˇovaÄŤem sĂˇnĂ­, dĂ©lka 50 cm, P01173a</t>
  </si>
  <si>
    <t>ZK979</t>
  </si>
  <si>
    <t>CĂ©vka odsĂˇvacĂ­ CH18 s pĹ™eruĹˇovaÄŤem sĂˇnĂ­, dĂ©lka 50 cm, P01177a</t>
  </si>
  <si>
    <t>Cévka odsávací CH10 s přerušovačem sání, délka 50 cm, P01169a</t>
  </si>
  <si>
    <t>Cévka odsávací CH12 s přerušovačem sání, délka 50 cm, P01171a</t>
  </si>
  <si>
    <t>Cévka odsávací CH14 s přerušovačem sání, délka 50 cm, P01173a</t>
  </si>
  <si>
    <t>Cévka odsávací CH18 s přerušovačem sání, délka 50 cm, P01177a</t>
  </si>
  <si>
    <t>ZC751</t>
  </si>
  <si>
    <t>Čepelka skalpelová 11 BB511</t>
  </si>
  <si>
    <t>ZC755</t>
  </si>
  <si>
    <t>Čepelka skalpelová 22 BB522</t>
  </si>
  <si>
    <t>ZB770</t>
  </si>
  <si>
    <t>DrĹľĂˇk jehly excentrickĂ˝ Holdex 450263</t>
  </si>
  <si>
    <t>ZB771</t>
  </si>
  <si>
    <t>DrĹľĂˇk jehly zĂˇkladnĂ­ 450201</t>
  </si>
  <si>
    <t>Držák jehly excentrický Holdex 450263</t>
  </si>
  <si>
    <t>Držák jehly základní 450201</t>
  </si>
  <si>
    <t>ZQ490</t>
  </si>
  <si>
    <t>Elektroda EKG pÄ›novĂˇ pr. 48 mm pro dospÄ›lĂ© (ES GS48) H-108003</t>
  </si>
  <si>
    <t>Elektroda EKG pÄ›novĂˇ pr. 48 mm pro dospÄ›lĂ© pro dlouhodobĂ© pouĹľitĂ­ (ES GS48) H-108003</t>
  </si>
  <si>
    <t>Elektroda EKG pěnová pr. 48 mm pro dospělé (ES GS48) H-108003</t>
  </si>
  <si>
    <t>ZA737</t>
  </si>
  <si>
    <t>Filtr mini spike modrĂ˝ 4550234</t>
  </si>
  <si>
    <t>Filtr mini spike modrý 4550234</t>
  </si>
  <si>
    <t>ZN646</t>
  </si>
  <si>
    <t>Fonendoskop oboustrannĂ˝ rĹŻznĂ© barvy 710045-s</t>
  </si>
  <si>
    <t>Fonendoskop oboustranný různé barvy 710045-s</t>
  </si>
  <si>
    <t>ZQ249</t>
  </si>
  <si>
    <t>HadiÄŤka spojovacĂ­ HS 1,8 x 1800 mm LL DEPH free 2200 180 ND</t>
  </si>
  <si>
    <t>ZQ248</t>
  </si>
  <si>
    <t>HadiÄŤka spojovacĂ­ HS 1,8 x 450 mm LL DEPH free 2200 045 ND</t>
  </si>
  <si>
    <t>ZB908</t>
  </si>
  <si>
    <t>HadiÄŤka spojovacĂ­ ĹľlutĂˇ 1 mm x 1500 mm pro svÄ›tlocitlivĂ© lĂ©ky bal. Ăˇ 20 ks 1100 1150ND</t>
  </si>
  <si>
    <t>Hadička spojovací HS 1,8 x 1800 mm LL DEPH free 2200 180 ND</t>
  </si>
  <si>
    <t>Hadička spojovací HS 1,8 x 450 mm LL DEPH free 2200 045 ND</t>
  </si>
  <si>
    <t>ZN044</t>
  </si>
  <si>
    <t>Hadička spojovací PE červená 2,0 x 2000 mm LL bal. á 200 ks 12003200E - výpadek</t>
  </si>
  <si>
    <t>ZN046</t>
  </si>
  <si>
    <t>Hadička spojovací PE modrá 2,0 x 2000 mm LL bal. á 200 ks 12003200E</t>
  </si>
  <si>
    <t>ZN682</t>
  </si>
  <si>
    <t>Hadička spojovací PE zelená 2,0 x 500 mm LL bal. á 200 ks 12002050E</t>
  </si>
  <si>
    <t>Hadička spojovací žlutá 1 mm x 1500 mm pro světlocitlivé léky bal. á 20 ks 1100 1150ND</t>
  </si>
  <si>
    <t>ZA978</t>
  </si>
  <si>
    <t>Houbička odsávací s reg. vakua 2201</t>
  </si>
  <si>
    <t>ZC738</t>
  </si>
  <si>
    <t>HusĂ­ krk Expandi-flex bal. Ăˇ 25 ks 22362</t>
  </si>
  <si>
    <t>Husí krk Expandi-flex bal. á 25 ks 22362</t>
  </si>
  <si>
    <t>ZB449</t>
  </si>
  <si>
    <t>Kanyla ET 7,0 s manĹľetou 9570E</t>
  </si>
  <si>
    <t>ZB387</t>
  </si>
  <si>
    <t>Kanyla ET 8,0 s manĹľetou 9480E</t>
  </si>
  <si>
    <t>Kanyla ET 8,0 s manžetou 9480E</t>
  </si>
  <si>
    <t>ZB388</t>
  </si>
  <si>
    <t>Kanyla ET 8,5 s manžetou 9485E</t>
  </si>
  <si>
    <t>ZA840</t>
  </si>
  <si>
    <t>Kanyla ET 9,5 s manžetou bal. á 10 ks 9495E</t>
  </si>
  <si>
    <t>ZQ508</t>
  </si>
  <si>
    <t>Kanyla nosnĂ­ OptiFlow Plus k pĹ™Ă­stroji AIRVO2, velikost M, bal. Ăˇ 20 ks P06105</t>
  </si>
  <si>
    <t>ZF202</t>
  </si>
  <si>
    <t>Kanyla TS 6,0 s manĹľetou bal. Ăˇ 10 ks 100/860/060</t>
  </si>
  <si>
    <t>ZA279</t>
  </si>
  <si>
    <t>Kanyla TS 7,0 s manĹľetou 100/800/070</t>
  </si>
  <si>
    <t>ZH335</t>
  </si>
  <si>
    <t>Kanyla TS 7,0 s manĹľetou bal. Ăˇ 2 ks 100/523/070</t>
  </si>
  <si>
    <t>Kanyla TS 7,0 s manžetou 100/800/070</t>
  </si>
  <si>
    <t>ZB105</t>
  </si>
  <si>
    <t>Kanyla TS 7,5 s manĹľetou 100/800/075</t>
  </si>
  <si>
    <t>ZA725</t>
  </si>
  <si>
    <t>Kanyla TS 8,0 s manĹľetou bal. Ăˇ 10 ks 100/860/080</t>
  </si>
  <si>
    <t>Kanyla TS 8,0 s manžetou bal. á 10 ks 100/860/080</t>
  </si>
  <si>
    <t>ZC982</t>
  </si>
  <si>
    <t>Kanyla TS 8,5 s manĹľetou bal. Ăˇ 10 ks 100/860/085</t>
  </si>
  <si>
    <t>ZB548</t>
  </si>
  <si>
    <t>Kanyla TS 9,0 s manĹľetou bal. Ăˇ 10 ks 100/800/090</t>
  </si>
  <si>
    <t>ZB263</t>
  </si>
  <si>
    <t>Kanyla TS 9,0 s manĹľetou bal. Ăˇ 2 ks 100/523/090</t>
  </si>
  <si>
    <t>Kanyla TS 9,0 s manžetou bal. á 2 ks 100/523/090</t>
  </si>
  <si>
    <t>ZF018</t>
  </si>
  <si>
    <t>Kanyla vasofix 16G ĹˇedĂˇ safety 4269179S-01</t>
  </si>
  <si>
    <t>ZD980</t>
  </si>
  <si>
    <t>Kanyla vasofix 18G zelená safety 4269136S-01</t>
  </si>
  <si>
    <t>Kanyla vasofix 18G zelenĂˇ safety 4269136S-01</t>
  </si>
  <si>
    <t>ZD809</t>
  </si>
  <si>
    <t>Kanyla vasofix 20G rĹŻĹľovĂˇ safety 4269110S-01</t>
  </si>
  <si>
    <t>Kanyla vasofix 20G růžová safety 4269110S-01</t>
  </si>
  <si>
    <t>ZD808</t>
  </si>
  <si>
    <t>Kanyla vasofix 22G modrá safety 4269098S-01</t>
  </si>
  <si>
    <t>Kanyla vasofix 22G modrĂˇ safety 4269098S-01</t>
  </si>
  <si>
    <t>ZB724</t>
  </si>
  <si>
    <t>Kapilára sedimentační kalibrovaná 727111</t>
  </si>
  <si>
    <t>ZC490</t>
  </si>
  <si>
    <t>KartĂˇÄŤek zubnĂ­ s odsĂˇvĂˇnĂ­m P2220</t>
  </si>
  <si>
    <t>ZF985</t>
  </si>
  <si>
    <t>Katetr moÄŤovĂ˝ foley 24CH bal. Ăˇ 12 ks 1620-02</t>
  </si>
  <si>
    <t>ZJ310</t>
  </si>
  <si>
    <t>Katetr moÄŤovĂ˝ foley CH12 180605-000120</t>
  </si>
  <si>
    <t>ZN409</t>
  </si>
  <si>
    <t>Katetr moÄŤovĂ˝ nelaton 14CH Silasil balĂłnkovĂ˝ 28 dnĂ­ bal. Ăˇ 10 ks 186005-000140</t>
  </si>
  <si>
    <t>ZN410</t>
  </si>
  <si>
    <t>Katetr moÄŤovĂ˝ nelaton 16CH Silasil balĂłnkovĂ˝ 28 dnĂ­ bal. Ăˇ 10 ks 186005-000160</t>
  </si>
  <si>
    <t>ZN412</t>
  </si>
  <si>
    <t>Katetr moÄŤovĂ˝ nelaton 20CH Silasil balĂłnkovĂ˝ 28 dnĂ­ bal. Ăˇ 10 ks 186005-000200</t>
  </si>
  <si>
    <t>Katetr močový foley 24CH bal. á 12 ks 1620-02</t>
  </si>
  <si>
    <t>Katetr močový nelaton 14CH Silasil balónkový 28 dní bal. á 10 ks 186005-000140</t>
  </si>
  <si>
    <t>Katetr močový nelaton 16CH Silasil balónkový 28 dní bal. á 10 ks 186005-000160</t>
  </si>
  <si>
    <t>Katetr močový nelaton 20CH Silasil balónkový 28 dní bal. á 10 ks 186005-000200</t>
  </si>
  <si>
    <t>ZK884</t>
  </si>
  <si>
    <t>Kohout trojcestnĂ˝ discofix modrĂ˝ 4095111</t>
  </si>
  <si>
    <t>ZB477</t>
  </si>
  <si>
    <t>Kohout trojcestnĂ˝ lopez valve pro NG sondu nesterilnĂ­ AA-011-M9000</t>
  </si>
  <si>
    <t>Kohout trojcestný discofix modrý 4095111</t>
  </si>
  <si>
    <t>Kohout trojcestný lopez valve pro NG sondu nesterilní AA-011-M9000</t>
  </si>
  <si>
    <t>ZO372</t>
  </si>
  <si>
    <t>Konektor bezjehlovĂ˝ OptiSyte JIM:JSM4001</t>
  </si>
  <si>
    <t>Konektor bezjehlový OptiSyte JIM:JSM4001</t>
  </si>
  <si>
    <t>ZQ860</t>
  </si>
  <si>
    <t>Konektor flocare pro aplikaci enterĂˇlnĂ­ vĂ˝Ĺľivy NUTRICIA PEG 18 CH ENFit (na kusy) 591396</t>
  </si>
  <si>
    <t>Konektor flocare pro aplikaci enterální výživy NUTRICIA PEG 18 CH ENFit bal. á 10 ks 591396</t>
  </si>
  <si>
    <t>ZP163</t>
  </si>
  <si>
    <t>Konektor flocare stupĹovĂ˝ pro sondu typu ENLock/sondu s kĂłnusovĂ˝m konektorem bal. Ăˇ 30 ks 589828</t>
  </si>
  <si>
    <t>Konektor flocare stupňový pro sondu typu ENLock/sondu s kónusovým konektorem bal. á 30 ks 589828</t>
  </si>
  <si>
    <t>ZO083</t>
  </si>
  <si>
    <t>Konektor flocare transition NOVÝ 30 ks (je součástí setu) 589732</t>
  </si>
  <si>
    <t>ZM513</t>
  </si>
  <si>
    <t>Konektor ventil jednocestnĂ˝ back check valve 8502802</t>
  </si>
  <si>
    <t>Konektor ventil jednocestný back check valve 8502802</t>
  </si>
  <si>
    <t>ZP078</t>
  </si>
  <si>
    <t>Kontejner 25 ml PP ĹˇroubovĂ˝ sterilnĂ­ uzĂˇvÄ›r 2680/EST/SG</t>
  </si>
  <si>
    <t>Kontejner 25 ml PP šroubový sterilní uzávěr 2680/EST/SG</t>
  </si>
  <si>
    <t>ZP676</t>
  </si>
  <si>
    <t>Krytka šroubovací na stříkačku injekční pro enterální výživu NUTRICAIR ENFIT bal. á 8 ks NCE208C</t>
  </si>
  <si>
    <t>ZD190</t>
  </si>
  <si>
    <t>Kyveta CO2 dospělá á 10 ks MP01062</t>
  </si>
  <si>
    <t>ZP300</t>
  </si>
  <si>
    <t>Ĺ krtidlo se sponou pro dospÄ›lĂ© bez latexu modrĂ© dĂ©lka 400 mm 09820-B</t>
  </si>
  <si>
    <t>ZB054</t>
  </si>
  <si>
    <t>LĂˇhev 2,00 l ĹˇroubovĂ˝ uzĂˇvÄ›r 000-030-000 (111-888-200)</t>
  </si>
  <si>
    <t>ZB102</t>
  </si>
  <si>
    <t>LĂˇhev k odsĂˇvaÄŤce flovac 1l hadice 1,8 m Ăˇ 45 ks 000-036-020</t>
  </si>
  <si>
    <t>ZB103</t>
  </si>
  <si>
    <t>LĂˇhev k odsĂˇvaÄŤce flovac 2l hadice 1,8 m 000-036-021</t>
  </si>
  <si>
    <t>ZC059</t>
  </si>
  <si>
    <t>LĂˇhev redon drenofast 400 ml-kompletnĂ­ bal. Ăˇ 40 ks 28400</t>
  </si>
  <si>
    <t>ZB361</t>
  </si>
  <si>
    <t>LĂˇhev respiflo 1000 ml 21000</t>
  </si>
  <si>
    <t>Láhev 2,00 l šroubový uzávěr 000-030-000 (111-888-200)</t>
  </si>
  <si>
    <t>Láhev k odsávačce flovac 2l hadice 1,8 m 000-036-021</t>
  </si>
  <si>
    <t>Láhev redon drenofast 400 ml-kompletní bal. á 40 ks 28400</t>
  </si>
  <si>
    <t>Láhev respiflo 1000 ml 21000</t>
  </si>
  <si>
    <t>ZA728</t>
  </si>
  <si>
    <t>Lopatka ĂşstnĂ­ dĹ™evÄ›nĂˇ lĂ©kaĹ™skĂˇ nesterilnĂ­ bal. Ăˇ 100 ks 1320100655</t>
  </si>
  <si>
    <t>Lopatka ústní dřevěná lékařská nesterilní bal. á 100 ks 1320100655</t>
  </si>
  <si>
    <t>ZA923</t>
  </si>
  <si>
    <t>Lžíce laryngoskopická 2 bal. á 10 ks DS.3940.150.15</t>
  </si>
  <si>
    <t>ZH299</t>
  </si>
  <si>
    <t>Lžíce laryngoskopická 3 bal. á 10 ks 670150-100030</t>
  </si>
  <si>
    <t>ZH300</t>
  </si>
  <si>
    <t>Lžíce laryngoskopická 4 bal. á 10 ks 670150-100040</t>
  </si>
  <si>
    <t>ZA713</t>
  </si>
  <si>
    <t>MÄ›Ĺ™iÄŤ ĹľilnĂ­ho tlaku 01 646992</t>
  </si>
  <si>
    <t>ZC166</t>
  </si>
  <si>
    <t>ManĹľeta pĹ™etlakovĂˇ 500 ml kompletnĂ­ (100 051-018-803) 100 ZIT-500</t>
  </si>
  <si>
    <t>ZB947</t>
  </si>
  <si>
    <t>ManĹľeta TK dospÄ›lĂˇ k monitoru Philips stĹ™ednĂ­ 27-35 cm M1574A</t>
  </si>
  <si>
    <t>ZE203</t>
  </si>
  <si>
    <t>ManĹľeta TK k monitoru Philips a dalĹˇĂ­ jednohadiÄŤkovĂˇ s vloĹľkou 18 - 26 cm dÄ›tskĂˇ MEC 1200 NIBPHPD</t>
  </si>
  <si>
    <t>ZE195</t>
  </si>
  <si>
    <t>ManĹľeta TK k monitoru Philips a dalĹˇĂ­ jednohadiÄŤkovĂˇ s vloĹľkou 25 - 35 cm dospÄ›lĂˇ MEC 1200 NIBPHPA</t>
  </si>
  <si>
    <t>ZD814</t>
  </si>
  <si>
    <t>ManĹľeta TK k monitoru Philips obĂ©znĂ­ 17 x 60 cm KVS M1 6ZOM</t>
  </si>
  <si>
    <t>ZB812</t>
  </si>
  <si>
    <t>Manžeta fixační Ute-Fix bal. á 20 ks NKS:40-05</t>
  </si>
  <si>
    <t>ZC291</t>
  </si>
  <si>
    <t>Manžeta přetlaková 1000 ml 100 ZIT-1000 (051-018-804)</t>
  </si>
  <si>
    <t>Manžeta TK k monitoru Philips a další jednohadičková s vložkou 25 - 35 cm dospělá MEC 1200 NIBPHPA</t>
  </si>
  <si>
    <t>ZB038</t>
  </si>
  <si>
    <t>Medisize hydrovent S filt./HM , bal.á 50 ks, 300-200-000</t>
  </si>
  <si>
    <t>Medisize hydrovent S filt./HM , bal.Ăˇ 50 ks, 300-200-000</t>
  </si>
  <si>
    <t>ZI528</t>
  </si>
  <si>
    <t>Membrána k fonendoskopu velká KVS 14-15</t>
  </si>
  <si>
    <t>Měřič žilního tlaku 01 646992</t>
  </si>
  <si>
    <t>ZB948</t>
  </si>
  <si>
    <t>MikronebulizĂ©r MicroMist bal. Ăˇ 50 ks 41891</t>
  </si>
  <si>
    <t>Mikronebulizér MicroMist bal. á 50 ks 41891</t>
  </si>
  <si>
    <t>ZB647</t>
  </si>
  <si>
    <t>Minitrach seldinger kit 100/461/000</t>
  </si>
  <si>
    <t>ZO930</t>
  </si>
  <si>
    <t>NĂˇdoba 100 ml PP 72/62 mm s pĹ™iloĹľenĂ˝m uzĂˇvÄ›rem bĂ­lĂ© vĂ­ÄŤko sterilnĂ­ na tekutĂ˝ materiĂˇl 75.562.105</t>
  </si>
  <si>
    <t>ZF192</t>
  </si>
  <si>
    <t>NĂˇdoba na kontaminovanĂ˝ odpad 4 l 15-0004</t>
  </si>
  <si>
    <t>Nádoba 100 ml PP 72/62 mm s přiloženým uzávěrem bílé víčko sterilní na tekutý materiál 75.562.105</t>
  </si>
  <si>
    <t>ZE159</t>
  </si>
  <si>
    <t>Nádoba na kontaminovaný odpad 2 l 15-0003</t>
  </si>
  <si>
    <t>Nádoba na kontaminovaný odpad 4 l 15-0004</t>
  </si>
  <si>
    <t>ZQ138</t>
  </si>
  <si>
    <t>Nůžky chirurgické rovné hrotnaté 150 mm TK-AJ 025-15</t>
  </si>
  <si>
    <t>ZQ137</t>
  </si>
  <si>
    <t>Nůžky chirurgické rovné hrtonaté 130 mm TK-AJ 025-13</t>
  </si>
  <si>
    <t>ZQ140</t>
  </si>
  <si>
    <t>Nůžky oční rovné 115 mm TK-AK 432-11</t>
  </si>
  <si>
    <t>ZN947</t>
  </si>
  <si>
    <t>Nůžky převazové lister 180 mm lomené PL827-106</t>
  </si>
  <si>
    <t>ZB475</t>
  </si>
  <si>
    <t>Odstraňovač kožních svorek bal. á 20 ks</t>
  </si>
  <si>
    <t>ZI879</t>
  </si>
  <si>
    <t>Odstraňovač kožních svorek Leukosan bal. á 20 ks 72615</t>
  </si>
  <si>
    <t>ZB439</t>
  </si>
  <si>
    <t>Odstraňovač náplastí Convacare á 100 ks 0011279 37443</t>
  </si>
  <si>
    <t>ZD040</t>
  </si>
  <si>
    <t>PĂˇska bepa clip vario pro TS kanylu 25/V Ăˇ 12 ks NKS:200502</t>
  </si>
  <si>
    <t>ZF512</t>
  </si>
  <si>
    <t>PĂˇska bepa clip vario pro TS kanylu 30/V Ăˇ 6 ks NKS:200602</t>
  </si>
  <si>
    <t>ZB648</t>
  </si>
  <si>
    <t>PĂˇska fixaÄŤnĂ­ Hand-Fix 30 bal. Ăˇ 2 ks NKS:60-65</t>
  </si>
  <si>
    <t>ZB507</t>
  </si>
  <si>
    <t>PĂˇska fixaÄŤnĂ­ SOFT FIX, set-4 druhy, 9 rolĂ­ NKS:30-05</t>
  </si>
  <si>
    <t>Páska bepa clip vario pro TS kanylu 25/V á 12 ks NKS:200502</t>
  </si>
  <si>
    <t>Páska fixační Hand-Fix 30 bal. á 2 ks NKS:60-65</t>
  </si>
  <si>
    <t>Páska fixační SOFT FIX, set-4 druhy, 9 rolí NKS:30-05</t>
  </si>
  <si>
    <t>ZQ143</t>
  </si>
  <si>
    <t>Pinzeta anatomická rovná úzká 145 mm TK-BA 100-14</t>
  </si>
  <si>
    <t>Pinzeta anatomickĂˇ rovnĂˇ ĂşzkĂˇ 145 mm TK-BA 100-14</t>
  </si>
  <si>
    <t>ZN408</t>
  </si>
  <si>
    <t>PodloĹľka natura flexibilnĂ­ 100 mm bal. Ăˇ 5 ks 401906</t>
  </si>
  <si>
    <t>ZN426</t>
  </si>
  <si>
    <t>PodloĹľka natura flexibilnĂ­ 45 mm bal. Ăˇ 5 ks 125902</t>
  </si>
  <si>
    <t>ZI347</t>
  </si>
  <si>
    <t>PodloĹľka natura flexibilnĂ­ 57 mm bal. Ăˇ 5 ks 0086766 125903</t>
  </si>
  <si>
    <t>ZI346</t>
  </si>
  <si>
    <t>PodloĹľka natura flexibilnĂ­ 70 mm bal. Ăˇ 5 ks 0086767 125904</t>
  </si>
  <si>
    <t>Podložka natura flexibilní 45 mm bal. á 5 ks 125902</t>
  </si>
  <si>
    <t>Podložka natura flexibilní 57 mm bal. á 5 ks 0086766 125903</t>
  </si>
  <si>
    <t>Podložka natura flexibilní 70 mm bal. á 5 ks 0086767 125904</t>
  </si>
  <si>
    <t>ZJ672</t>
  </si>
  <si>
    <t>PohĂˇr na moÄŤ 250 ml UH GAMA204809</t>
  </si>
  <si>
    <t>Pohár na moč 250 ml UH GAMA204809</t>
  </si>
  <si>
    <t>ZL688</t>
  </si>
  <si>
    <t>ProuĹľky diagnostickĂ© Accu-Check Inform II Strip 50 EU1 Ăˇ 50 ks 05942861041</t>
  </si>
  <si>
    <t>Proužky Accu-Check Inform II Strip 50 EU1 á 50 ks 05942861041</t>
  </si>
  <si>
    <t>Proužky diagnostické Accu-Check Inform II Strip 50 EU1 á 50 ks 05942861041</t>
  </si>
  <si>
    <t>ZA691</t>
  </si>
  <si>
    <t>Rampa 3 kohouty discofix 16600C/4085434/</t>
  </si>
  <si>
    <t>ZK435</t>
  </si>
  <si>
    <t>Rampa 5 kohoutĹŻ discofix bal. Ăˇ 40 ks 16608C (4085450)</t>
  </si>
  <si>
    <t>Rampa 5 kohoutů discofix bal. á 40 ks 16608C (4085450)</t>
  </si>
  <si>
    <t>ZR454</t>
  </si>
  <si>
    <t>RegulĂˇtor prĹŻtoku infuze Flow Regulator 5 aĹľ 250 ml/hod vÄŤetnÄ› infuznĂ­ho setu, dĂ©lka 165 cm bal Ăˇ 50 ks 02-018-02</t>
  </si>
  <si>
    <t>ZP835</t>
  </si>
  <si>
    <t>RegulĂˇtor prĹŻtoku infuze Flow Regulator 5 aĹľ 250 ml/hod vÄŤetnÄ› spojovacĂ­ hadiÄŤky 55 cm bal Ăˇ 50 ks 02-018-01</t>
  </si>
  <si>
    <t>Regulátor průtoku infuze Flow Regulator 5 až 250 ml/hod včetně spojovací hadičky 55 cm bal á 50 ks 02-018-01</t>
  </si>
  <si>
    <t>ZL862</t>
  </si>
  <si>
    <t>RezervoĂˇr balonkovĂ˝ sacĂ­ J-VAC 100ml bal Ăˇ 10 ks 2160</t>
  </si>
  <si>
    <t>ZA883</t>
  </si>
  <si>
    <t>Rourka rektĂˇlnĂ­ CH18 dĂ©lka 40 cm 19-18.100</t>
  </si>
  <si>
    <t>ZA831</t>
  </si>
  <si>
    <t>Rourka rektĂˇlnĂ­ CH20 dĂ©lka 40 cm 19-20.100</t>
  </si>
  <si>
    <t>ZA884</t>
  </si>
  <si>
    <t>Rourka rektĂˇlnĂ­ CH22 dĂ©lka 40 cm 19-22.100</t>
  </si>
  <si>
    <t>Rourka rektální CH18 délka 40 cm 19-18.100</t>
  </si>
  <si>
    <t>Rourka rektální CH20 délka 40 cm 19-20.100</t>
  </si>
  <si>
    <t>ZL689</t>
  </si>
  <si>
    <t>Roztok Accu-Check Performa Int´l Controls 1+2 level 04861736001</t>
  </si>
  <si>
    <t>Roztok Accu-Check Performa IntÂ´l Controls 1+2 level 04861736001</t>
  </si>
  <si>
    <t>ZN645</t>
  </si>
  <si>
    <t>SĂˇÄŤek moÄŤovĂ˝ 14 dennĂ­ Urosid 2000S s bezjehlovĂ˝m portem objem 2000 ml dĂ©lka hadice 120 cm bal. Ăˇ 40 ks N13479</t>
  </si>
  <si>
    <t>ZA688</t>
  </si>
  <si>
    <t>SĂˇÄŤek moÄŤovĂ˝ s hodinovou diurĂ©zou curity 400, 2000 ml, hadiÄŤka 150 cm 8150</t>
  </si>
  <si>
    <t>ZA804</t>
  </si>
  <si>
    <t>SĂˇÄŤek moÄŤovĂ˝ s hodinovou diurĂ©zou ureofix 500 ml, 2000 ml, klasik s vĂ˝pustĂ­ a antiref. ventilem hadiÄŤka 120 cm 4417930</t>
  </si>
  <si>
    <t>ZB249</t>
  </si>
  <si>
    <t>SĂˇÄŤek moÄŤovĂ˝ s kĹ™Ă­Ĺľovou vĂ˝pustĂ­ 2000 ml s hadiÄŤkou 90 cm ZAR-TNU201601</t>
  </si>
  <si>
    <t>Sáček močový 14 denní Urosid 2000S s bezjehlovým portem objem 2000 ml délka hadice 120 cm bal. á 40 ks N13479</t>
  </si>
  <si>
    <t>Sáček močový s hodinovou diurézou curity 400, 2000 ml, hadička 150 cm 8150</t>
  </si>
  <si>
    <t>Sáček močový s křížovou výpustí 2000 ml s hadičkou 90 cm ZAR-TNU201601</t>
  </si>
  <si>
    <t>ZB307</t>
  </si>
  <si>
    <t>Sáček náhradní 3,5 l Ureofix s posuvnou svorkou bal. á 100 ks 4417543</t>
  </si>
  <si>
    <t>ZE884</t>
  </si>
  <si>
    <t>Sáček výpustný + invisiclose natura 57 mm béžový standard bal. á 10 ks 0082654 416420</t>
  </si>
  <si>
    <t>ZI344</t>
  </si>
  <si>
    <t>Sáček výpustný + invisiclose natura 70 mm béžový standard bal. á 10 ks 0082655 416423</t>
  </si>
  <si>
    <t>ZJ194</t>
  </si>
  <si>
    <t>Sáček výpustný natura 57 mm průhledný urostomický bal. á 10 ks 401536</t>
  </si>
  <si>
    <t>ZI345</t>
  </si>
  <si>
    <t>Sáček výpustný natura 70 mm průhledný urostomický bal. á 10 ks 401537</t>
  </si>
  <si>
    <t>ZC842</t>
  </si>
  <si>
    <t>Sáček výpustný+ invisiclose natura 100 mm béžový standard bal. á 10 ks 0082656 416472</t>
  </si>
  <si>
    <t>ZB656</t>
  </si>
  <si>
    <t>Senzor k mÄ›Ĺ™enĂ­ hemodynamiky flotrac s hadiÄŤkou 152 cm k monitoru VIGILEO MHD6R</t>
  </si>
  <si>
    <t>Senzor k měření hemodynamiky flotrac s hadičkou 152 cm k monitoru VIGILEO MHD6R</t>
  </si>
  <si>
    <t>ZB899</t>
  </si>
  <si>
    <t>Senzor spirologický bal. á 5 ks 8403735-03</t>
  </si>
  <si>
    <t>ZA967</t>
  </si>
  <si>
    <t>Set flocare pro enterĂˇlnĂ­ vĂ˝Ĺľivu 800 Pack Transition novĂ˝ pro vaky ( APA 3386175) 586512</t>
  </si>
  <si>
    <t>Set flocare pro enterální výživu 800 Pack Transition nový pro vaky ( APA 3386175) 586512</t>
  </si>
  <si>
    <t>Set na malĂ© zĂˇkroky sterilnĂ­ pro moÄŤovou katetrizaci+ aqua permanent 4 Mediset 753882</t>
  </si>
  <si>
    <t>ZA206</t>
  </si>
  <si>
    <t>Set perkutální PEG-24-PULL-I-S</t>
  </si>
  <si>
    <t>Set sterilnĂ­ pro moÄŤovou katetrizaci+ aqua permanent 4 Mediset 753882</t>
  </si>
  <si>
    <t>Set sterilní pro močovou katetrizaci+ aqua permanent 4 Mediset 753882</t>
  </si>
  <si>
    <t>ZA753</t>
  </si>
  <si>
    <t>Sonda flocare PUR CH8/110 cm EnLock 2778398</t>
  </si>
  <si>
    <t>ZB922</t>
  </si>
  <si>
    <t>Sonda flocare PUR CH8/125 cm soft EnLock 2806967</t>
  </si>
  <si>
    <t>ZK179</t>
  </si>
  <si>
    <t>Sonda ĹľaludeÄŤnĂ­ CH12 1200 mm s RTG linkou bal. Ăˇ 50 ks 412012</t>
  </si>
  <si>
    <t>ZJ695</t>
  </si>
  <si>
    <t>Sonda ĹľaludeÄŤnĂ­ CH14 1200 mm s RTG linkou bal. Ăˇ 50 ks 412014</t>
  </si>
  <si>
    <t>ZJ696</t>
  </si>
  <si>
    <t>Sonda ĹľaludeÄŤnĂ­ CH18 1200 mm s RTG linkou bal. Ăˇ 30 ks 412018</t>
  </si>
  <si>
    <t>Sonda žaludeční CH12 1200 mm s RTG linkou bal. á 50 ks 412012</t>
  </si>
  <si>
    <t>Sonda žaludeční CH14 1200 mm s RTG linkou bal. á 50 ks 412014</t>
  </si>
  <si>
    <t>Sonda žaludeční CH18 1200 mm s RTG linkou bal. á 30 ks 412018</t>
  </si>
  <si>
    <t>ZE146</t>
  </si>
  <si>
    <t>Souprava nebulizaÄŤnĂ­ uzavĹ™enĂˇ In-Line-Neb Tee Kit  bal. Ăˇ 50 ks 41745</t>
  </si>
  <si>
    <t>Souprava nebulizační uzavřená In-Line-Neb Tee Kit  bal. á 50 ks 41745</t>
  </si>
  <si>
    <t>ZB543</t>
  </si>
  <si>
    <t>Souprava odbÄ›rovĂˇ tracheĂˇlnĂ­ na odbÄ›r sekretu G05206</t>
  </si>
  <si>
    <t>Souprava odběrová tracheální na odběr sekretu G05206</t>
  </si>
  <si>
    <t>ZD254</t>
  </si>
  <si>
    <t>Souprava pro rektální inkontinenci flexi seal FMS (možno objednávat na kusy) 418000</t>
  </si>
  <si>
    <t>ZB303</t>
  </si>
  <si>
    <t>Spojka asymetrická 4 x 7 mm 60.21.00 (120 420)</t>
  </si>
  <si>
    <t>Spojka asymetrickĂˇ 4 x 7 mm 60.21.00 (120 420)</t>
  </si>
  <si>
    <t>ZA860</t>
  </si>
  <si>
    <t>Spojka dvojitá otočná čistá á 20 ks 23412</t>
  </si>
  <si>
    <t>ZD882</t>
  </si>
  <si>
    <t>Spojka symetrická 3-5 mm bal. á 50 ks 881.33 D</t>
  </si>
  <si>
    <t>ZB598</t>
  </si>
  <si>
    <t>Spojka symetrickĂˇ pĹ™Ă­mĂˇ 7 x 7 mm 60.23.00 (120 430)</t>
  </si>
  <si>
    <t>ZB488</t>
  </si>
  <si>
    <t>Sprej cavilon 28 ml bal. á 12 ks 3346E</t>
  </si>
  <si>
    <t>Sprej cavilon 28 ml bal. Ăˇ 12 ks 3346E</t>
  </si>
  <si>
    <t>Sprej cavilon 28 ml bal. Ăˇ 12 ks 3346E - dlouhodobĂ˝ vĂ˝padek</t>
  </si>
  <si>
    <t>ZR397</t>
  </si>
  <si>
    <t>StĹ™Ă­kaÄŤka injekÄŤnĂ­ 2-dĂ­lnĂˇ 10 ml L DISCARDIT LE 309110</t>
  </si>
  <si>
    <t>ZA787</t>
  </si>
  <si>
    <t>StĹ™Ă­kaÄŤka injekÄŤnĂ­ 2-dĂ­lnĂˇ 10 ml L Inject Solo 4606108V</t>
  </si>
  <si>
    <t>StĹ™Ă­kaÄŤka injekÄŤnĂ­ 2-dĂ­lnĂˇ 10 ml L Inject Solo 4606108V - nahrazuje ZR397</t>
  </si>
  <si>
    <t>ZR395</t>
  </si>
  <si>
    <t>StĹ™Ă­kaÄŤka injekÄŤnĂ­ 2-dĂ­lnĂˇ 2 ml L DISCARDIT LC 300928</t>
  </si>
  <si>
    <t>ZA789</t>
  </si>
  <si>
    <t>StĹ™Ă­kaÄŤka injekÄŤnĂ­ 2-dĂ­lnĂˇ 2 ml L Inject Solo 4606027V  - povoleno pouze pro NOVOROZENECKĂ‰ ODD.</t>
  </si>
  <si>
    <t>ZR398</t>
  </si>
  <si>
    <t>StĹ™Ă­kaÄŤka injekÄŤnĂ­ 2-dĂ­lnĂˇ 20 ml L DISCARDIT LE bal. Ăˇ 80 ks 300296</t>
  </si>
  <si>
    <t>ZA788</t>
  </si>
  <si>
    <t>StĹ™Ă­kaÄŤka injekÄŤnĂ­ 2-dĂ­lnĂˇ 20 ml L Inject Solo 4606205V</t>
  </si>
  <si>
    <t>ZR396</t>
  </si>
  <si>
    <t>StĹ™Ă­kaÄŤka injekÄŤnĂ­ 2-dĂ­lnĂˇ 5 ml L DISCARDIT LE 309050</t>
  </si>
  <si>
    <t>ZA790</t>
  </si>
  <si>
    <t>StĹ™Ă­kaÄŤka injekÄŤnĂ­ 2-dĂ­lnĂˇ 5 ml L Inject Solo4606051V</t>
  </si>
  <si>
    <t>StĹ™Ă­kaÄŤka injekÄŤnĂ­ 2-dĂ­lnĂˇ 5 ml L Inject Solo4606051V - nahrazuje ZR396</t>
  </si>
  <si>
    <t>ZH168</t>
  </si>
  <si>
    <t>StĹ™Ă­kaÄŤka injekÄŤnĂ­ 3-dĂ­lnĂˇ 1 ml L tuberculin s jehlou KD-JECT III 26G x 1/2" 0,45 x 12 mm 831786</t>
  </si>
  <si>
    <t>ZH491</t>
  </si>
  <si>
    <t>StĹ™Ă­kaÄŤka injekÄŤnĂ­ 3-dĂ­lnĂˇ 50 - 60 ml LL MRG00711</t>
  </si>
  <si>
    <t>ZN854</t>
  </si>
  <si>
    <t>StĹ™Ă­kaÄŤka injekÄŤnĂ­ arteriĂˇlnĂ­ 3 ml bez jehly s heparinem bal. Ăˇ 100 ks safePICO Aspirator 956-622</t>
  </si>
  <si>
    <t>ZQ599</t>
  </si>
  <si>
    <t>StĹ™Ă­kaÄŤka injekÄŤnĂ­ pro enterĂˇlnĂ­ vĂ˝Ĺľivu 50/60 ml NUTRICAIR ENFIT excentrickĂˇ bal.Ăˇ 50 ks NCE50SE</t>
  </si>
  <si>
    <t>ZQ967</t>
  </si>
  <si>
    <t>StĹ™Ă­kaÄŤka inzulĂ­novĂˇ 0,5 ml s jehlou 29 G sterilnĂ­ bal. Ăˇ 100 ks IS0529G</t>
  </si>
  <si>
    <t>ZA964</t>
  </si>
  <si>
    <t>StĹ™Ă­kaÄŤka janett 3-dĂ­lnĂˇ 60 ml sterilnĂ­ vyplachovacĂ­ 050ML3CZ-CEW (MRG564)</t>
  </si>
  <si>
    <t>ZB268</t>
  </si>
  <si>
    <t>Stojan sedimentační 836072</t>
  </si>
  <si>
    <t>Stříkačka injekční 2-dílná 10 ml L Inject Solo 4606108V</t>
  </si>
  <si>
    <t>Stříkačka injekční 2-dílná 2 ml L Inject Solo 4606027V</t>
  </si>
  <si>
    <t>Stříkačka injekční 2-dílná 20 ml L Inject Solo 4606205V</t>
  </si>
  <si>
    <t>Stříkačka injekční 2-dílná 5 ml L Inject Solo4606051V</t>
  </si>
  <si>
    <t>Stříkačka injekční 3-dílná 1 ml L tuberculin s jehlou KD-JECT III 26G x 1/2" 0,45 x 12 mm 831786</t>
  </si>
  <si>
    <t>Stříkačka injekční 3-dílná 50 - 60 ml LL MRG00711</t>
  </si>
  <si>
    <t>Stříkačka injekční arteriální 3 ml bez jehly s heparinem bal. á 100 ks safePICO Aspirator 956-622</t>
  </si>
  <si>
    <t>Stříkačka injekční pro enterální výživu 50/60 ml NUTRICAIR ENFIT excentrická bal.á 50 ks NCE50SE</t>
  </si>
  <si>
    <t>ZO765</t>
  </si>
  <si>
    <t>Stříkačka injekční předplněná 0,9% NaCl 10 ml Omniflush bal. á 100 ks EM3513576</t>
  </si>
  <si>
    <t>Stříkačka inzulínová 0,5 ml s jehlou 29 G sterilní bal. á 100 ks IS0529G</t>
  </si>
  <si>
    <t>Stříkačka janett 3-dílná 60 ml sterilní vyplachovací 050ML3CZ-CEW (MRG564)</t>
  </si>
  <si>
    <t>ZD962</t>
  </si>
  <si>
    <t>SystĂ©m hrudnĂ­ drenĂˇĹľnĂ­ altitude bal. Ăˇ 5 ks 8888571370</t>
  </si>
  <si>
    <t>ZD963</t>
  </si>
  <si>
    <t>SystĂ©m hrudnĂ­ drenĂˇĹľnĂ­ altitude bal. Ăˇ 5 ks 8888571371</t>
  </si>
  <si>
    <t>ZA428</t>
  </si>
  <si>
    <t>SystĂ©m odsĂˇvacĂ­ uzavĹ™enĂ˝ 14F jednocestnĂ˝ 57 cm 72 hod. bal. Ăˇ 20 ks Z110-14</t>
  </si>
  <si>
    <t>ZL333</t>
  </si>
  <si>
    <t>SystĂ©m odsĂˇvacĂ­ uzavĹ™enĂ˝ ET Comfortsoft CH 14 55 cm 72 hod. bal. Ăˇ 50 ks 02-011-11</t>
  </si>
  <si>
    <t>ZB041</t>
  </si>
  <si>
    <t>Systém hrudní drenáže atrium 1 cestný 3600-100</t>
  </si>
  <si>
    <t>ZF428</t>
  </si>
  <si>
    <t>Systém hrudní drenáže atrium 2 cestný 3620-100</t>
  </si>
  <si>
    <t>Systém hrudní drenážní altitude bal. á 5 ks 8888571370</t>
  </si>
  <si>
    <t>Systém hrudní drenážní altitude bal. á 5 ks 8888571371</t>
  </si>
  <si>
    <t>Systém odsávací uzavřený 14F jednocestný 57 cm 72 hod. bal. á 20 ks Z110-14</t>
  </si>
  <si>
    <t>ZB255</t>
  </si>
  <si>
    <t>Systém odsávací uzavřený Ty-care CH14 pro TK bal. á 10 ks 444SP01314</t>
  </si>
  <si>
    <t>ZB298</t>
  </si>
  <si>
    <t>Trokar hrudnĂ­ Argyle Ch16/25 cm bal. Ăˇ 10 ks 8888561035</t>
  </si>
  <si>
    <t>ZA119</t>
  </si>
  <si>
    <t>Trokar hrudní 18F 30 cm 636.18</t>
  </si>
  <si>
    <t>ZA799</t>
  </si>
  <si>
    <t>Trokar hrudní redax F20 s ostrým koncem bal. á 10 ks 11220</t>
  </si>
  <si>
    <t>ZL803</t>
  </si>
  <si>
    <t>Trokar hrudní redax F24 s ostrým koncem bal. á 10 ks 11224</t>
  </si>
  <si>
    <t>ZB505</t>
  </si>
  <si>
    <t>Tubo-fix pro ET rourky á 8 ks komplet NKS:20-10</t>
  </si>
  <si>
    <t>Tubo-fix pro ET rourky Ăˇ 8 ks komplet NKS:20-10</t>
  </si>
  <si>
    <t>ZQ486</t>
  </si>
  <si>
    <t>TyÄŤinka vatovĂˇ sterilnĂ­ 14 cm po jednotlivÄ› balenĂˇ velkĂˇ 1 bal/100 ks 4791911</t>
  </si>
  <si>
    <t>ZR290</t>
  </si>
  <si>
    <t>TyÄŤinka vatovĂˇ zvlhÄŤujĂ­cĂ­ na hygienu dutiny ĂşstnĂ­ 10 cm dlouhĂˇ bal. Ăˇ 75 ks 32.000.00.020</t>
  </si>
  <si>
    <t>Tyčinka vatová sterilní 14 cm po jednotlivě balená velká 1 bal/100 ks 4791911</t>
  </si>
  <si>
    <t>ZP357</t>
  </si>
  <si>
    <t>Tyčinka vatová zvlhčující glycerín + citron bal. á 75 ks FTL-LS-15 - firma již nedodává</t>
  </si>
  <si>
    <t>Tyčinka vatová zvlhčující na hygienu dutiny ústní 10 cm dlouhá bal. á 75 ks 32.000.00.020</t>
  </si>
  <si>
    <t>ZA812</t>
  </si>
  <si>
    <t>UzĂˇvÄ›r do katetrĹŻ 4435001</t>
  </si>
  <si>
    <t>Uzávěr do katetrů 4435001</t>
  </si>
  <si>
    <t>ZB632</t>
  </si>
  <si>
    <t>Ventil expiraÄŤnĂ­ jednorĂˇzovĂ˝ Ăˇ 10 ks 8414776</t>
  </si>
  <si>
    <t>ZJ277</t>
  </si>
  <si>
    <t>Ventil jednorĂˇzovĂ˝ expiraÄŤnĂ­ V500 Ăˇ 10 ks MP01060</t>
  </si>
  <si>
    <t>Ventil jednorázový expirační V500 á 10 ks MP01060</t>
  </si>
  <si>
    <t>ZK798</t>
  </si>
  <si>
    <t>ZĂˇtka combi modrĂˇ 4495152</t>
  </si>
  <si>
    <t>ZK799</t>
  </si>
  <si>
    <t>Zátka combi červená 4495101</t>
  </si>
  <si>
    <t>Zátka combi modrá 4495152</t>
  </si>
  <si>
    <t>ZP077</t>
  </si>
  <si>
    <t>Zkumavka 15 ml PP 101/16,5 mm bílý šroubový uzávěr sterilní jednotlivě balená, tekutý materiál na bakteriolog. vyšetření 10362/MO/SG/CS</t>
  </si>
  <si>
    <t>ZB756</t>
  </si>
  <si>
    <t>Zkumavka 3 ml K3 edta fialová 454086</t>
  </si>
  <si>
    <t>Zkumavka 3 ml K3 edta fialovĂˇ 454086</t>
  </si>
  <si>
    <t>ZB757</t>
  </si>
  <si>
    <t>Zkumavka 6 ml K3 edta fialovĂˇ 456036</t>
  </si>
  <si>
    <t>ZB754</t>
  </si>
  <si>
    <t>Zkumavka ÄŤernĂˇ 2 ml 454073</t>
  </si>
  <si>
    <t>ZB774</t>
  </si>
  <si>
    <t>Zkumavka ÄŤervenĂˇ 5 ml gel 456071</t>
  </si>
  <si>
    <t>ZB762</t>
  </si>
  <si>
    <t>Zkumavka ÄŤervenĂˇ 6 ml 456092</t>
  </si>
  <si>
    <t>ZB759</t>
  </si>
  <si>
    <t>Zkumavka ÄŤervenĂˇ 8 ml gel 455071</t>
  </si>
  <si>
    <t>Zkumavka černá 2 ml 454073</t>
  </si>
  <si>
    <t>Zkumavka červená 5 ml gel 456071</t>
  </si>
  <si>
    <t>Zkumavka červená 6 ml 456092</t>
  </si>
  <si>
    <t>Zkumavka červená 8 ml gel 455071</t>
  </si>
  <si>
    <t>ZB775</t>
  </si>
  <si>
    <t>Zkumavka koagulace modrá Quick 4 ml modrá 454329</t>
  </si>
  <si>
    <t>Zkumavka koagulace modrĂˇ Quick 4 ml modrĂˇ 454329</t>
  </si>
  <si>
    <t>ZB773</t>
  </si>
  <si>
    <t>Zkumavka ĹˇedĂˇ-glykemie 454085</t>
  </si>
  <si>
    <t>ZI182</t>
  </si>
  <si>
    <t>Zkumavka moÄŤovĂˇ + aplikĂˇtor s chem.stabilizĂˇtorem UriSwab ĹľlutĂˇ 802CE.A</t>
  </si>
  <si>
    <t>ZB985</t>
  </si>
  <si>
    <t>Zkumavka moÄŤovĂˇ urin-monovette s pĂ­stem 10 ml sterilnĂ­ bal. Ăˇ 100 ks 10.252.020</t>
  </si>
  <si>
    <t>Zkumavka močová + aplikátor s chem.stabilizátorem UriSwab žlutá 802CE.A</t>
  </si>
  <si>
    <t>Zkumavka močová urin-monovette s pístem 10 ml sterilní bal. á 100 ks 10.252.020</t>
  </si>
  <si>
    <t>ZI179</t>
  </si>
  <si>
    <t>Zkumavka s mediem+ flovakovanĂ˝ tampon eSwab rĹŻĹľovĂ˝ nos,krk,vagina,koneÄŤnĂ­k,rĂˇny,fekĂˇlnĂ­ vzo) 490CE.A</t>
  </si>
  <si>
    <t>Zkumavka s mediem+ flovakovaný tampon eSwab růžový nos,krk,vagina,konečník,rány,fekální vzo) 490CE.A</t>
  </si>
  <si>
    <t>Zkumavka šedá-glykemie 454085</t>
  </si>
  <si>
    <t>ZB764</t>
  </si>
  <si>
    <t>Zkumavka zelená 4 ml 454051</t>
  </si>
  <si>
    <t>Zkumavka zelenĂˇ 4 ml 454051</t>
  </si>
  <si>
    <t>50115063</t>
  </si>
  <si>
    <t>ZPr - vaky, sety (Z528)</t>
  </si>
  <si>
    <t>Sáček močový s hodinovou diurézou ureofix 500 ml, 2000 ml, klasik s výpustí a antiref. ventilem hadička 120 cm 4417930</t>
  </si>
  <si>
    <t>ZA715</t>
  </si>
  <si>
    <t>Set infuznĂ­ intrafix primeline classic 150 cm 4062957</t>
  </si>
  <si>
    <t>Set infuzní intrafix primeline classic 150 cm 4062957</t>
  </si>
  <si>
    <t>ZB715</t>
  </si>
  <si>
    <t>Set pro enterĂˇlnĂ­ vĂ˝Ĺľivu kangaro univ.  Ăˇ 30 ks  S777403</t>
  </si>
  <si>
    <t>ZC393</t>
  </si>
  <si>
    <t>Set pro enterální výživu applix smart/vision á 30 ks 7751946</t>
  </si>
  <si>
    <t>Set pro enterální výživu kangaro univ.  á 30 ks  S777403</t>
  </si>
  <si>
    <t>ZE079</t>
  </si>
  <si>
    <t>Set transfĂşznĂ­ non PVC s odvzduĹˇnÄ›nĂ­m a bakteriĂˇlnĂ­m filtrem ZAR-I-TS</t>
  </si>
  <si>
    <t>Set transfúzní non PVC s odvzdušněním a bakteriálním filtrem ZAR-I-TS</t>
  </si>
  <si>
    <t>50115064</t>
  </si>
  <si>
    <t>ZPr - šicí materiál (Z529)</t>
  </si>
  <si>
    <t>ZA966</t>
  </si>
  <si>
    <t>Ĺ itĂ­ mersilene gr 2 bal. Ăˇ 36 ks EH6417H</t>
  </si>
  <si>
    <t>ZF937</t>
  </si>
  <si>
    <t>Ĺ itĂ­ premicron zelenĂ˝ 3/0 (2) bal. Ăˇ 36 ks C0026553</t>
  </si>
  <si>
    <t>ZC135</t>
  </si>
  <si>
    <t>Ĺ itĂ­ safil fialovĂ˝ 2/0 (3) bal. Ăˇ 36 ks C1048031</t>
  </si>
  <si>
    <t>ZB220</t>
  </si>
  <si>
    <t>Ĺ itĂ­ safil fialovĂ˝ 3/0 (2) bal. Ăˇ 36 ks C1048046</t>
  </si>
  <si>
    <t>ZA911</t>
  </si>
  <si>
    <t>Šití dafilon modrý 2/0 (3) bal. á 36 ks C0932477</t>
  </si>
  <si>
    <t>ZB882</t>
  </si>
  <si>
    <t>Šití mersilene 2-0 bal. á 36 ks EH6854H</t>
  </si>
  <si>
    <t>ZA963</t>
  </si>
  <si>
    <t>Šití mersilene gr 3 bal. á 36 ks EH6418H</t>
  </si>
  <si>
    <t>Šití premicron zelený 3/0 (2) bal. á 36 ks C0026553</t>
  </si>
  <si>
    <t>ZB555</t>
  </si>
  <si>
    <t>Šití prolene bl 3-0 bal. á 12 ks W8522</t>
  </si>
  <si>
    <t>Šití safil fialový 2/0 (3) bal. á 36 ks C1048031</t>
  </si>
  <si>
    <t>Šití safil fialový 3/0 (2) bal. á 36 ks C1048046</t>
  </si>
  <si>
    <t>ZA917</t>
  </si>
  <si>
    <t>Šití silon pletený bílý 3EP bal. á 20 ks SB2056</t>
  </si>
  <si>
    <t>50115065</t>
  </si>
  <si>
    <t>ZPr - vpichovací materiál (Z530)</t>
  </si>
  <si>
    <t>ZB466</t>
  </si>
  <si>
    <t>Jehla chirurgická 0,6 x 22 B14</t>
  </si>
  <si>
    <t>ZB481</t>
  </si>
  <si>
    <t>Jehla chirurgická 0,7 x 25 B13</t>
  </si>
  <si>
    <t>Jehla chirurgickĂˇ 0,6 x 22 B14</t>
  </si>
  <si>
    <t>Jehla chirurgickĂˇ 0,7 x 25 B13</t>
  </si>
  <si>
    <t>ZA835</t>
  </si>
  <si>
    <t>Jehla injekÄŤnĂ­ 0,6 x 25 mm modrĂˇ 4657667</t>
  </si>
  <si>
    <t>ZA834</t>
  </si>
  <si>
    <t>Jehla injekÄŤnĂ­ 0,7 x 40 mm ÄŤernĂˇ 4660021</t>
  </si>
  <si>
    <t>ZA833</t>
  </si>
  <si>
    <t>Jehla injekÄŤnĂ­ 0,8 x 40 mm zelenĂˇ 4657527</t>
  </si>
  <si>
    <t>ZB556</t>
  </si>
  <si>
    <t>Jehla injekÄŤnĂ­ 1,2 x 40 mm rĹŻĹľovĂˇ 4665120</t>
  </si>
  <si>
    <t>Jehla injekční 0,6 x 25 mm modrá 4657667</t>
  </si>
  <si>
    <t>Jehla injekční 0,7 x 40 mm černá 4660021</t>
  </si>
  <si>
    <t>Jehla injekční 0,8 x 40 mm zelená 4657527</t>
  </si>
  <si>
    <t>ZA836</t>
  </si>
  <si>
    <t>Jehla injekční 0,9 x 70 mm žlutá 4665791</t>
  </si>
  <si>
    <t>Jehla injekční 1,2 x 40 mm růžová 4665120</t>
  </si>
  <si>
    <t>ZB768</t>
  </si>
  <si>
    <t>Jehla vakuovĂˇ 216/38 mm zelenĂˇ 450076</t>
  </si>
  <si>
    <t>ZB767</t>
  </si>
  <si>
    <t>Jehla vakuovĂˇ 226/38 mm ÄŤernĂˇ 450075</t>
  </si>
  <si>
    <t>50115067</t>
  </si>
  <si>
    <t>ZPr - rukavice (Z532)</t>
  </si>
  <si>
    <t>ZK792</t>
  </si>
  <si>
    <t>Rukavice operaÄŤnĂ­  latex s polyuretanem a silikonem sterilnĂ­ ansell gammex PFXP chemo cytostatickĂ© vel. 7,5 bal. Ăˇ 50 pĂˇrĹŻ 330054075</t>
  </si>
  <si>
    <t>ZN041</t>
  </si>
  <si>
    <t>Rukavice operaÄŤnĂ­ latex bez pudru sterilnĂ­  PF ansell gammex vel. 6,5 330048065</t>
  </si>
  <si>
    <t>ZN126</t>
  </si>
  <si>
    <t>Rukavice operaÄŤnĂ­ latex bez pudru sterilnĂ­  PF ansell gammex vel. 7,0 330048070</t>
  </si>
  <si>
    <t>ZN108</t>
  </si>
  <si>
    <t>Rukavice operaÄŤnĂ­ latex bez pudru sterilnĂ­  PF ansell gammex vel. 8,0 330048080</t>
  </si>
  <si>
    <t>ZN040</t>
  </si>
  <si>
    <t>Rukavice operaÄŤnĂ­ latex bez pudru sterilnĂ­  PF ansell gammex vel. 8,5 330048085</t>
  </si>
  <si>
    <t>ZN125</t>
  </si>
  <si>
    <t>Rukavice operaÄŤnĂ­ latex bez pudru sterilnĂ­  PF ansell gammex vel.7,5 330048075</t>
  </si>
  <si>
    <t>Rukavice operační  latex s polyuretanem a silikonem sterilní ansell gammex PFXP chemo cytostatické vel. 7,5 bal. á 50 párů 330054075</t>
  </si>
  <si>
    <t>Rukavice operační latex bez pudru sterilní  PF ansell gammex vel. 6,5 330048065</t>
  </si>
  <si>
    <t>Rukavice operační latex bez pudru sterilní  PF ansell gammex vel. 7,0 330048070</t>
  </si>
  <si>
    <t>Rukavice operační latex bez pudru sterilní  PF ansell gammex vel. 8,0 330048080</t>
  </si>
  <si>
    <t>Rukavice operační latex bez pudru sterilní  PF ansell gammex vel. 8,5 330048085</t>
  </si>
  <si>
    <t>Rukavice operační latex bez pudru sterilní  PF ansell gammex vel.7,5 330048075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</si>
  <si>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</si>
  <si>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</si>
  <si>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</si>
  <si>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</si>
  <si>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</si>
  <si>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</si>
  <si>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ZP949</t>
  </si>
  <si>
    <t>Rukavice vyĹˇetĹ™ovacĂ­ nitril basic bez pudru modrĂ© XL bal. Ăˇ 170 ks 44753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</si>
  <si>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</si>
  <si>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</si>
  <si>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</si>
  <si>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Rukavice vyšetřovací nitril basic bez pudru modré XL bal. á 170 ks 44753</t>
  </si>
  <si>
    <t>50115070</t>
  </si>
  <si>
    <t>ZPr - katetry ostatní (Z513)</t>
  </si>
  <si>
    <t>ZC637</t>
  </si>
  <si>
    <t>Katetr arteriĂˇlnĂ­ set Arteriofix, pro radiĂˇlnĂ­ pĹ™Ă­stup, 20 G/80 mm, set: katetr+zavĂˇdÄ›cĂ­ vodiÄŤ+zav. punkÄŤnĂ­ jehla,  bal. Ăˇ 20 ks  5206324</t>
  </si>
  <si>
    <t>Katetr arteriální set Arteriofix, pro radiální přístup, 20 G/80 mm, set: katetr+zaváděcí vodič+zav. punkční jehla,  bal. á 20 ks  5206324</t>
  </si>
  <si>
    <t>ZD909</t>
  </si>
  <si>
    <t>Katetr CVC 2 lumen 7 Fr x 20 cm certofix duo ECO 720 á 10 ks 4162200E</t>
  </si>
  <si>
    <t>Katetr CVC 2 lumen 7 Fr x 20 cm certofix duo ECO 720 Ăˇ 10 ks 4162200E</t>
  </si>
  <si>
    <t>ZD827</t>
  </si>
  <si>
    <t>Katetr CVC 3 lumen 7 Fr x 20 cm certofix trio SB720 bal. á 10 ks 4163206E-07</t>
  </si>
  <si>
    <t>Katetr CVC 3 lumen 7 Fr x 20 cm certofix trio SB720 bal. Ăˇ 10 ks 4163206E-07</t>
  </si>
  <si>
    <t>ZC615</t>
  </si>
  <si>
    <t>Katetr CVC 3 lumen 7 Fr x 20 cm certofix trio V720 s antimikr.Ăşpravou bal. Ăˇ 10 ks 4163214P-07</t>
  </si>
  <si>
    <t>Katetr CVC 3 lumen 7 Fr x 20 cm certofix trio V720 s antimikr.úpravou bal. á 10 ks 4163214P-07</t>
  </si>
  <si>
    <t>ZD538</t>
  </si>
  <si>
    <t>Katetr dialyzaÄŤnĂ­ 2 lumen 12,0 Fr x 15 cm KFE-TDL-1215- K</t>
  </si>
  <si>
    <t>ZJ759</t>
  </si>
  <si>
    <t>Katetr dialyzační 3 lumen 13,0 Fr x 20 cm KFE-TTL-1320-K</t>
  </si>
  <si>
    <t>50115079</t>
  </si>
  <si>
    <t>ZPr - internzivní péče (Z542)</t>
  </si>
  <si>
    <t>ZB751</t>
  </si>
  <si>
    <t>Hadice PVC 8/12 á 30 m P00468</t>
  </si>
  <si>
    <t>Hadice PVC 8/12 Ăˇ 30 m P00468</t>
  </si>
  <si>
    <t>ZB750</t>
  </si>
  <si>
    <t>Hadice vrapovaná metráž dělitelná po 400 mm á 50 m 1574000/W</t>
  </si>
  <si>
    <t>Hadice vrapovanĂˇ metrĂˇĹľ dÄ›litelnĂˇ po 400 mm Ăˇ 50 m 1574000/W</t>
  </si>
  <si>
    <t>ZB232</t>
  </si>
  <si>
    <t>Maska anesteziologická č.4 EcoMask ( s proužky ) 7094</t>
  </si>
  <si>
    <t>ZB233</t>
  </si>
  <si>
    <t>Maska anesteziologická č.5 EcoMask ( s proužky ) 7095</t>
  </si>
  <si>
    <t>ZF751</t>
  </si>
  <si>
    <t>Maska anesteziologická č.6 EcoMask ( s proužky ) 7096</t>
  </si>
  <si>
    <t>Maska anesteziologickĂˇ ÄŤ.4 EcoMask ( s prouĹľky ) 7094 (7294000)</t>
  </si>
  <si>
    <t>Maska anesteziologickĂˇ ÄŤ.5 EcoMask ( s prouĹľky ) 7095</t>
  </si>
  <si>
    <t>Maska anesteziologickĂˇ ÄŤ.6 EcoMask ( s prouĹľky ) 7296</t>
  </si>
  <si>
    <t>ZN620</t>
  </si>
  <si>
    <t>Maska kyslĂ­kovĂˇ dospÄ›lĂˇ s nebulizacĂ­ a hadiÄŤkou 2 m bal. Ăˇ 100 ks A0400</t>
  </si>
  <si>
    <t>Maska kyslíková dospělá s nebulizací a hadičkou 2 m bal. á 100 ks A0400</t>
  </si>
  <si>
    <t>ZA905</t>
  </si>
  <si>
    <t>Maska tracheostomická 001305</t>
  </si>
  <si>
    <t>Maska tracheostomickĂˇ 001305</t>
  </si>
  <si>
    <t>ZN621</t>
  </si>
  <si>
    <t>Nos umÄ›lĂ˝ s portem pro odsĂˇvĂˇnĂ­ bal. Ăˇ 30 ks B0300(6000)</t>
  </si>
  <si>
    <t>Nos umělý s portem pro odsávání bal. á 30 ks B0300(6000)</t>
  </si>
  <si>
    <t>ZD534</t>
  </si>
  <si>
    <t>Okruh dĂ˝chacĂ­ compact II 2,0 m 2151000</t>
  </si>
  <si>
    <t>ZJ051</t>
  </si>
  <si>
    <t>Okruh dĂ˝chacĂ­ jednorĂˇzovĂ˝ - set VentStar Oxylog 3000 bal. Ăˇ 5 ks 5703041 (5702871)</t>
  </si>
  <si>
    <t>Okruh dĂ˝chacĂ­ jednorĂˇzovĂ˝ - set VentStar Oxylog 3000 bal. Ăˇ 5 ks 5703041(5702871)</t>
  </si>
  <si>
    <t>ZQ510</t>
  </si>
  <si>
    <t>Okruh dĂ˝chacĂ­ k pĹ™Ă­stroji AIRVO2 vÄŤetnÄ› komory Plus, bal. Ăˇ 20 ks P06859</t>
  </si>
  <si>
    <t>Okruh dýchací compact II 2,0 m 2151000</t>
  </si>
  <si>
    <t>Okruh dýchací jednorázový - set VentStar Oxylog 3000 bal. á 5 ks 5703041(5702871)</t>
  </si>
  <si>
    <t>ZC366</t>
  </si>
  <si>
    <t>PĹ™evodnĂ­k tlakovĂ˝ PX260 150 cm 1 linka bal. Ăˇ 10 ks (T100209A) T100209B</t>
  </si>
  <si>
    <t>PĹ™evodnĂ­k tlakovĂ˝ PX260 150 cm 1 linka bal. Ăˇ 10 ks (T100209A, T100209B) PX260</t>
  </si>
  <si>
    <t>ZC262</t>
  </si>
  <si>
    <t>PĹ™evodnĂ­k tlakovĂ˝ PX2X2 +uzavĹ™enĂ˝ odbÄ›rovĂ˝ set VMP172 dvojitĂ˝ bal. Ăˇ 10 ks T001741A</t>
  </si>
  <si>
    <t>Převodník tlakový PX260 150 cm 1 linka bal. á 10 ks (T100209A) T100209B</t>
  </si>
  <si>
    <t>Převodník tlakový PX2X2 +uzavřený odběrový set VMP172 dvojitý bal. á 10 ks T001741A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</si>
  <si>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</si>
  <si>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</si>
  <si>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</si>
  <si>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</si>
  <si>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</si>
  <si>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</si>
  <si>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</si>
  <si>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</si>
  <si>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</si>
  <si>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</si>
  <si>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</si>
  <si>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</si>
  <si>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</si>
  <si>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</si>
  <si>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</si>
  <si>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</si>
  <si>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lékaři pod odborným dozorem</t>
  </si>
  <si>
    <t>lékaři specialisté</t>
  </si>
  <si>
    <t>všeobecné sestry bez dohl.</t>
  </si>
  <si>
    <t>všeobecné sestry bez dohl., spec.</t>
  </si>
  <si>
    <t>všeobecné sestry VŠ</t>
  </si>
  <si>
    <t>ošetřovatelé</t>
  </si>
  <si>
    <t>sanitáři</t>
  </si>
  <si>
    <t>THP</t>
  </si>
  <si>
    <t>Specializovaná ambulantní péče</t>
  </si>
  <si>
    <t>5T1 - Pracov.resusc. a intenz. úst. lůž. péče chirurgick</t>
  </si>
  <si>
    <t>Zdravotní výkony vykázané na pracovišti v rámci ambulantní péče *</t>
  </si>
  <si>
    <t>beze jména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</si>
  <si>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</si>
  <si>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</si>
  <si>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</si>
  <si>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</si>
  <si>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5T1</t>
  </si>
  <si>
    <t>V</t>
  </si>
  <si>
    <t>90904</t>
  </si>
  <si>
    <t xml:space="preserve">(DRG) DOBA TRVÁNÍ UMĚLÉ PLICNÍ VENTILACE VÍCE NEŽ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</si>
  <si>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</si>
  <si>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</si>
  <si>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501</t>
  </si>
  <si>
    <t>15401</t>
  </si>
  <si>
    <t>ESOFAGOGASTRODUODENOSKOPIE</t>
  </si>
  <si>
    <t>15445</t>
  </si>
  <si>
    <t xml:space="preserve">POUŽITÍ VIDEOENDOSKOPU PŘI ENDOSKOPICKÉM VÝKONU Á </t>
  </si>
  <si>
    <t>15910</t>
  </si>
  <si>
    <t>ENDOSKOPICKÁ EXTRAKCE CIZÍHO TĚLESA Z JÍCNU A ŽALU</t>
  </si>
  <si>
    <t>5F1</t>
  </si>
  <si>
    <t>32510</t>
  </si>
  <si>
    <t>ZAVEDENÍ DLOUHODOBÉ KANYLACE CENTRÁLNÍHO ŽILNÍHO S</t>
  </si>
  <si>
    <t>51313</t>
  </si>
  <si>
    <t>ZÁCHOVNÉ OPERACE SLEZINY</t>
  </si>
  <si>
    <t>51343</t>
  </si>
  <si>
    <t>LOKÁLNÍ EXCIZE JATER NEBO OŠETŘENÍ MALÉ TRHLINY JA</t>
  </si>
  <si>
    <t>51349</t>
  </si>
  <si>
    <t>OTEVŘENÁ DRENÁŽ ABSCESU JATER, CYSTY JATER NEBO SU</t>
  </si>
  <si>
    <t>51353</t>
  </si>
  <si>
    <t>PUNKCE, ODSÁTÍ TENKÉHO STŘEVA, MANIPULACE SE STŘEV</t>
  </si>
  <si>
    <t>51359</t>
  </si>
  <si>
    <t>RESEKCE A ANASTOMÓZA TLUSTÉHO STŘEVA NEBO REKTOSIG</t>
  </si>
  <si>
    <t>51379</t>
  </si>
  <si>
    <t>CHOLEDOCHOTOMIE</t>
  </si>
  <si>
    <t>51383</t>
  </si>
  <si>
    <t>GASTROTOMIE, DUODENOTOMIE NEBO JEDNODUCHÁ PYLOROPL</t>
  </si>
  <si>
    <t>51388</t>
  </si>
  <si>
    <t>GASTROENTEROANASTOMÓZA  NEBO RESEKCE A (NEBO) ANAS</t>
  </si>
  <si>
    <t>51392</t>
  </si>
  <si>
    <t>RELAPAROTOMIE PRO POOPERAČNÍ KRVÁCENÍ, PERITONITID</t>
  </si>
  <si>
    <t>51393</t>
  </si>
  <si>
    <t>EXPLORATIVNÍ LAPAROTOMIE</t>
  </si>
  <si>
    <t>51394</t>
  </si>
  <si>
    <t>UZÁVĚR STĚNY BŘIŠNÍ PO EVISCERACI</t>
  </si>
  <si>
    <t>51397</t>
  </si>
  <si>
    <t>OTEVŘENÁ LAVÁŽ PERITONEÁLNÍ DUTINY, SEC. LOOK, LAP</t>
  </si>
  <si>
    <t>51419</t>
  </si>
  <si>
    <t>MÍSTNÍ EXCIZE LÉZE REKTA TRANSSFINKTERICKÁ, TRANSV</t>
  </si>
  <si>
    <t>51423</t>
  </si>
  <si>
    <t>MINIMÁLNÍ ANÁLNÍ VÝKON</t>
  </si>
  <si>
    <t>51518</t>
  </si>
  <si>
    <t>OPERACE VNITŘNÍ KÝLY</t>
  </si>
  <si>
    <t>51623</t>
  </si>
  <si>
    <t>POUŽITÍ ULTRAZVUKOVÉHO SKALPELU</t>
  </si>
  <si>
    <t>51713</t>
  </si>
  <si>
    <t>DIAGNOSTICKÁ VIDEOLAPAROSKOPIE A VIDEOTORAKOSKOPIE</t>
  </si>
  <si>
    <t>51819</t>
  </si>
  <si>
    <t>OŠETŘENÍ A OBVAZ ROZSÁHLÉ RÁNY V CELKOVÉ ANESTEZII</t>
  </si>
  <si>
    <t>57213</t>
  </si>
  <si>
    <t>PLASTICKÉ VÝKONY NA PRŮDUŠNICI A VELKÝCH BRONŠÍCH</t>
  </si>
  <si>
    <t>57253</t>
  </si>
  <si>
    <t>PLEUREKTOMIE - ABRAZE</t>
  </si>
  <si>
    <t>61129</t>
  </si>
  <si>
    <t>EXCIZE KOŽNÍ LÉZE, SUTURA OD 2 DO 10 CM</t>
  </si>
  <si>
    <t>63589</t>
  </si>
  <si>
    <t>SALPINGEKTOMIE NEBO ADNEXEKTOMIE A NEBO RESEKCE OV</t>
  </si>
  <si>
    <t>71717</t>
  </si>
  <si>
    <t>TRACHEOTOMIE</t>
  </si>
  <si>
    <t>71747</t>
  </si>
  <si>
    <t>ČÁSTEČNÁ EXSTIRPACE KRČNÍCH UZLIN</t>
  </si>
  <si>
    <t>07546</t>
  </si>
  <si>
    <t>(DRG) OTEVŘENÝ PŘÍSTUP</t>
  </si>
  <si>
    <t>07422</t>
  </si>
  <si>
    <t>(VZP) EMBOLECTOMIE A. FEMORALIS COMMUNIS</t>
  </si>
  <si>
    <t>07531</t>
  </si>
  <si>
    <t>(VZP) ARTERIOGRAFIE PEROPERAČNÍ</t>
  </si>
  <si>
    <t>07545</t>
  </si>
  <si>
    <t>(DRG) DRUHÁ A DALŠÍ REOPERACE</t>
  </si>
  <si>
    <t>07551</t>
  </si>
  <si>
    <t>(DRG) HYBRIDNÍ PŘÍSTUP</t>
  </si>
  <si>
    <t>07416</t>
  </si>
  <si>
    <t>(VZP) JINÉ REKONSTRUKCE V OBLASTI STEHNA</t>
  </si>
  <si>
    <t>(DRG) JINÉ REKONSTRUKCE V OBLASTI STEHNA</t>
  </si>
  <si>
    <t>07417</t>
  </si>
  <si>
    <t>(VZP) ENDARTERECTOMIE A. FEMORALIS A JEJÍCH VĚTVÍ</t>
  </si>
  <si>
    <t>07532</t>
  </si>
  <si>
    <t>(VZP) TRANSLUMINÁLNÍ ANGIOPLASTIKA PEROPERAČNÍ</t>
  </si>
  <si>
    <t>07390</t>
  </si>
  <si>
    <t>(VZP) EMBOLECTOMIE A.ILIACA</t>
  </si>
  <si>
    <t>07542</t>
  </si>
  <si>
    <t>(VZP) CÉVNÍ VÝKON JINDE NEZAŘAZENÝ</t>
  </si>
  <si>
    <t>07565</t>
  </si>
  <si>
    <t>(DRG) KATASTROFICKÁ OPERACE KVCH</t>
  </si>
  <si>
    <t>07571</t>
  </si>
  <si>
    <t>(DRG) POOPERAČNÍ REVIZE PRO KRVÁCENÍ, INFEKCI NEBO</t>
  </si>
  <si>
    <t>07421</t>
  </si>
  <si>
    <t>(VZP) TROMBECTOMIE BYPASSU VE FEMORÁLNÍ OBLASTI</t>
  </si>
  <si>
    <t>07335</t>
  </si>
  <si>
    <t>(VZP) BYPASS AORTO - ILICKÝ NEBO NÁHRADA OBOUSTRAN</t>
  </si>
  <si>
    <t>07397</t>
  </si>
  <si>
    <t xml:space="preserve">(VZP) ZAVEDENÍ TUBULÁRNÍHO STENTGRAFTU DO PÁNEVNÍ </t>
  </si>
  <si>
    <t>07401</t>
  </si>
  <si>
    <t>(VZP) REVIZE V OBLASTI PÁNEVNÍCH TEPEN PRO  KRVÁCE</t>
  </si>
  <si>
    <t>07320</t>
  </si>
  <si>
    <t>(VZP) BYPASS NEBO NÁHRADA TEPEN HORNÍCH KONČETIN A</t>
  </si>
  <si>
    <t>07543</t>
  </si>
  <si>
    <t>(DRG) PRIMOOPERACE</t>
  </si>
  <si>
    <t>51396</t>
  </si>
  <si>
    <t>PUNKCE DUTINY BŘIŠNÍ S DRENÁŽÍ EV. LAVAŽÍ</t>
  </si>
  <si>
    <t>54990</t>
  </si>
  <si>
    <t>ODBĚR ŽILNÍHO ŠTĚPU</t>
  </si>
  <si>
    <t>51371</t>
  </si>
  <si>
    <t>CHOLECYSTEKTOMIE</t>
  </si>
  <si>
    <t>54810</t>
  </si>
  <si>
    <t>PEROPERAČNÍ ANGIOGRAFIE</t>
  </si>
  <si>
    <t>51425</t>
  </si>
  <si>
    <t>HEMOROIDEKTOMIE</t>
  </si>
  <si>
    <t>57251</t>
  </si>
  <si>
    <t>KLÍNOVITÁ RESEKCE PLIC NEBO ENUKLEACE TUMORU</t>
  </si>
  <si>
    <t>54190</t>
  </si>
  <si>
    <t>OSTATNÍ REKONSTRUKCE TEPEN A BY-PASSY</t>
  </si>
  <si>
    <t>51825</t>
  </si>
  <si>
    <t>SEKUNDÁRNÍ SUTURA RÁNY</t>
  </si>
  <si>
    <t>51850</t>
  </si>
  <si>
    <t>PŘEVAZ RÁNY METODOU V. A. C. (VACUUM ASISTED CLOSU</t>
  </si>
  <si>
    <t>07379</t>
  </si>
  <si>
    <t>(VZP) BYPASS NEBO NÁHRADA ILIKO - FEMORÁLNÍ PROTET</t>
  </si>
  <si>
    <t>51386</t>
  </si>
  <si>
    <t>SUTURA EV. EXCIZE A SUTURA LÉZE STĚNY ŽALUDKU NEBO</t>
  </si>
  <si>
    <t>51711</t>
  </si>
  <si>
    <t>VÝKON LAPAROSKOPICKÝ A TORAKOSKOPICKÝ</t>
  </si>
  <si>
    <t>51311</t>
  </si>
  <si>
    <t>SPLENEKTOMIE</t>
  </si>
  <si>
    <t>51811</t>
  </si>
  <si>
    <t>INCIZE A DRENÁŽ ABSCESU NEBO HEMATOMU</t>
  </si>
  <si>
    <t>51367</t>
  </si>
  <si>
    <t>APENDEKTOMIE NEBO OPERAČNÍ DRENÁŽ PERIAPENDIKULÁRN</t>
  </si>
  <si>
    <t>54120</t>
  </si>
  <si>
    <t>ANEURYSMA BŘIŠNÍ AORTY (NÁHRADA BIFURKAČNÍ PROTÉZO</t>
  </si>
  <si>
    <t>07564</t>
  </si>
  <si>
    <t>(DRG) EMERGENTNÍ OPERACE KVCH</t>
  </si>
  <si>
    <t>62310</t>
  </si>
  <si>
    <t>NEKREKTOMIE DO 1% POVRCHU TĚLA</t>
  </si>
  <si>
    <t>07562</t>
  </si>
  <si>
    <t>(DRG) PLÁNOVANÁ OPERACE KVCH</t>
  </si>
  <si>
    <t>51511</t>
  </si>
  <si>
    <t>OPERACE KÝLY INQUINÁLNÍ A FEMORÁLNÍ - DOSPĚLÍ, VČE</t>
  </si>
  <si>
    <t>07552</t>
  </si>
  <si>
    <t>(DRG) OPERAČNÍ VÝKON BEZ MIMOTĚLNÍHO OBĚHU</t>
  </si>
  <si>
    <t>57215</t>
  </si>
  <si>
    <t>RESEKCE HRUDNÍ STĚNY</t>
  </si>
  <si>
    <t>07363</t>
  </si>
  <si>
    <t xml:space="preserve">(VZP) ZAVEDENÍ BIFURKAČNÍHO STENTGRAFTU DO BŘIŠNÍ </t>
  </si>
  <si>
    <t>54325</t>
  </si>
  <si>
    <t>AORTOILICKÁ EMBOLEKTOMIE NEBO TROMBEKTOMIE BIFURKA</t>
  </si>
  <si>
    <t>66851</t>
  </si>
  <si>
    <t>AMPUTACE DLOUHÉ KOSTI / EXARTIKULACE VELKÉHO KLOUB</t>
  </si>
  <si>
    <t>07468</t>
  </si>
  <si>
    <t>(VZP) TROMBECTOMIE  A. POPLITEA A BÉRCOVÝCH TEPEN</t>
  </si>
  <si>
    <t>51357</t>
  </si>
  <si>
    <t>JEJUNOSTOMIE, ILEOSTOMIE NEBO KOLOSTOMIE, ANTEPOZI</t>
  </si>
  <si>
    <t>51321</t>
  </si>
  <si>
    <t>LEVOSTRANNÁ PANKREATEKTOMIE SE SPLENEKTOMIÍ</t>
  </si>
  <si>
    <t>07423</t>
  </si>
  <si>
    <t>(VZP) EMBOLECTOMIE A. FEMORALIS PROFUNDA</t>
  </si>
  <si>
    <t>07563</t>
  </si>
  <si>
    <t>(DRG) URGENTNÍ OPERACE KVCH</t>
  </si>
  <si>
    <t>07544</t>
  </si>
  <si>
    <t>(DRG) PRVNÍ REOPERACE</t>
  </si>
  <si>
    <t>07469</t>
  </si>
  <si>
    <t>(VZP) EMBOLECTOMIE A. POPLITEA A BÉRCOVÝCH TEPEN</t>
  </si>
  <si>
    <t>51391</t>
  </si>
  <si>
    <t>LAPAROTOMIE A OŠETŘENÍ VÍCEČETNÉHO VISCERÁLNÍHO PO</t>
  </si>
  <si>
    <t>54510</t>
  </si>
  <si>
    <t>PEROPERAČNÍ TRANSLUMINÁLNÍ ANGIOPLASTIKA</t>
  </si>
  <si>
    <t>54340</t>
  </si>
  <si>
    <t>TEPENNÁ EMBOLEKTOMIE, TROMBEKTOMIE</t>
  </si>
  <si>
    <t>57235</t>
  </si>
  <si>
    <t>TORAKOTOMIE PROSTÁ NEBO S BIOPSIÍ, EVAKUACÍ HEMATO</t>
  </si>
  <si>
    <t>51365</t>
  </si>
  <si>
    <t>UZÁVĚR A ÚPRAVA STOMIÍ NA TLUSTÉM STŘEVĚ</t>
  </si>
  <si>
    <t>54170</t>
  </si>
  <si>
    <t>PROFUNDOPLASTIKA</t>
  </si>
  <si>
    <t>07389</t>
  </si>
  <si>
    <t>(VZP) TROMBECTOMIE A.ILIACA</t>
  </si>
  <si>
    <t>51355</t>
  </si>
  <si>
    <t>DVOJ - A VÍCENÁSOBNÁ RESEKCE A (NEBO) ANASTOMÓZA T</t>
  </si>
  <si>
    <t>07418</t>
  </si>
  <si>
    <t>(VZP) TROMBECTOMIE  A. FEMORALIS A JEJÍCH VĚTVÍ</t>
  </si>
  <si>
    <t>51421</t>
  </si>
  <si>
    <t>KOREKCE ANÁLNÍHO SFINKTERU A ANOREKTÁLNÍHO PŘECHOD</t>
  </si>
  <si>
    <t>54310</t>
  </si>
  <si>
    <t>AORTOILICKÝ ÚSEK - ENDARTEREKTOMIE</t>
  </si>
  <si>
    <t>07413</t>
  </si>
  <si>
    <t>(VZP) PLASTIKA A. FEMORALIS A JEJÍCH VĚTVÍ PROTETI</t>
  </si>
  <si>
    <t>07373</t>
  </si>
  <si>
    <t>(VZP) REVIZE V OBLASTI BŘIŠNÍ AORTY PRO  KRVÁCENÍ</t>
  </si>
  <si>
    <t>54850</t>
  </si>
  <si>
    <t>CHIRURGICKÉ ŘEŠENÍ INFEKCE  CÉVNÍ PROTÉZY V AORTOF</t>
  </si>
  <si>
    <t>51326</t>
  </si>
  <si>
    <t>DRENÁŽNÍ OPERACE PŘI AKUTNÍ PANKEATITIDĚ, DRENÁŽ A</t>
  </si>
  <si>
    <t>07424</t>
  </si>
  <si>
    <t>(VZP) EMBOLECTOMIE A. FEMORALIS SUPERFICIALIS</t>
  </si>
  <si>
    <t>57221</t>
  </si>
  <si>
    <t>OPERAČNÍ STABILIZACE HRUDNÍKU PO ÚRAZE - JEDNA STR</t>
  </si>
  <si>
    <t>63596</t>
  </si>
  <si>
    <t>TOTÁLNÍ OMENTEKTOMIE</t>
  </si>
  <si>
    <t>66915</t>
  </si>
  <si>
    <t>DEKOMPRESE FASCIÁLNÍHO LOŽE</t>
  </si>
  <si>
    <t>07388</t>
  </si>
  <si>
    <t>(VZP) ENDARTERECTOMIE  A.ILIACA</t>
  </si>
  <si>
    <t>90823</t>
  </si>
  <si>
    <t>(DRG) ANTIREFLUXNÍ PLASTIKA LAPAROSKOPICKY</t>
  </si>
  <si>
    <t>57231</t>
  </si>
  <si>
    <t>MEDIASTINOTOMIE</t>
  </si>
  <si>
    <t>51361</t>
  </si>
  <si>
    <t>KOLEKTOMIE SUBTOTÁLNÍ S ILEOSTOMIÍ A UZÁVĚREM REKT</t>
  </si>
  <si>
    <t>07428</t>
  </si>
  <si>
    <t>(VZP) REVIZE V OBLASTI STEHNA PRO  KRVÁCENÍ</t>
  </si>
  <si>
    <t>(DRG) REVIZE V OBLASTI STEHNA PRO  KRVÁCENÍ</t>
  </si>
  <si>
    <t>57237</t>
  </si>
  <si>
    <t>SUTURA RUPTUTY BRÁNICE TORAKOTOMICKÝM PŘÍSTUPEM</t>
  </si>
  <si>
    <t>07329</t>
  </si>
  <si>
    <t>(VZP) NÁHRADA AORTO - AORTÁLNÍ PROTETICKÁ</t>
  </si>
  <si>
    <t>51117</t>
  </si>
  <si>
    <t>KRČNÍ EZOFAGOSTOMIE</t>
  </si>
  <si>
    <t>07572</t>
  </si>
  <si>
    <t>(DRG) DRUHÁ A DALŠÍ POOPERAČNÍ REVIZE PRO KRVÁCENÍ</t>
  </si>
  <si>
    <t>07419</t>
  </si>
  <si>
    <t xml:space="preserve">(VZP) KOMPLETNÍ ODSTRANĚNÍ PROTETICKÉHO MATERIÁLU </t>
  </si>
  <si>
    <t>07499</t>
  </si>
  <si>
    <t>(VZP) INTERPOZICE ŽILNÍHO ÚSEKU</t>
  </si>
  <si>
    <t>90952</t>
  </si>
  <si>
    <t>(DRG) EXTRAKCE TROMBU NEBO EMBOLU ENDOVASKULÁRNÍ C</t>
  </si>
  <si>
    <t>90954</t>
  </si>
  <si>
    <t>(DRG) KRITICKÁ KONČETINOVÁ ISCHEMIE</t>
  </si>
  <si>
    <t>07517</t>
  </si>
  <si>
    <t>(VZP) REVIZE ŽILNÍHO SYSTÉMU PRO  KRVÁCENÍ</t>
  </si>
  <si>
    <t>07387</t>
  </si>
  <si>
    <t>(VZP) JINÉ REKONSTRUKCE V OBLASTI PÁNEVNÍCH TEPEN</t>
  </si>
  <si>
    <t>07357</t>
  </si>
  <si>
    <t>(VZP) EMBOLECTOMIE BŘIŠNÍ AORTY</t>
  </si>
  <si>
    <t>91761</t>
  </si>
  <si>
    <t>(DRG) DERIVAČNÍ STOMIE</t>
  </si>
  <si>
    <t>91741</t>
  </si>
  <si>
    <t>(DRG) SEGMENTÁLNÍ RESEKCE TRACHEY</t>
  </si>
  <si>
    <t>91767</t>
  </si>
  <si>
    <t>(DRG) DOČASNÁ TAMPONÁDA (PACKING) ORGÁNŮ NEBO ČÁST</t>
  </si>
  <si>
    <t>91760</t>
  </si>
  <si>
    <t>(DRG) NUTRIČNÍ STOMIE</t>
  </si>
  <si>
    <t>07322</t>
  </si>
  <si>
    <t>(VZP) REVIZE TEPEN HORNÍCH KONČETIN PRO  KRVÁCENÍ</t>
  </si>
  <si>
    <t>07457</t>
  </si>
  <si>
    <t>(VZP) BYPASS POPLITEO - CRURÁLNÍ VĚTVENÝ AUTOLOGNÍ</t>
  </si>
  <si>
    <t>07516</t>
  </si>
  <si>
    <t>(VZP) ODBĚR A PŘÍPRAVA ŽILNÍHO ŠTĚPU Z HLUBOKÉ ŽÍL</t>
  </si>
  <si>
    <t>07395</t>
  </si>
  <si>
    <t>5F3</t>
  </si>
  <si>
    <t>51853</t>
  </si>
  <si>
    <t>CIRKULÁRNÍ SÁDROVÝ OBVAZ - PRSTŮ, RUKY, ZÁPĚSTÍ</t>
  </si>
  <si>
    <t>51863</t>
  </si>
  <si>
    <t>SÁDROVÁ DLAHA - CELÁ DOLNÍ KONČETINA</t>
  </si>
  <si>
    <t>51877</t>
  </si>
  <si>
    <t>PŘILOŽENÍ LÉČEBNÉ POMŮCKY - ORTÉZY</t>
  </si>
  <si>
    <t>53119</t>
  </si>
  <si>
    <t>ZAVŘENÁ REPOZICE ZLOMENIN PŘEDLOKTÍ, LOKTE, PAŽE N</t>
  </si>
  <si>
    <t>53159</t>
  </si>
  <si>
    <t>OTEVŘENÁ REPOZICE A OSTEOSYNTÉZA ZLOMENIN OBOU KOS</t>
  </si>
  <si>
    <t>53163</t>
  </si>
  <si>
    <t>OTEVŘENÁ REPOZICE A OSTEOSYNTÉZA VÍCEÚLOMKOVÝCH ZL</t>
  </si>
  <si>
    <t>53413</t>
  </si>
  <si>
    <t>ZAVŘENÁ REPOZICE ZLOMENINY BÉRCE VČETNĚ NITROKLOUB</t>
  </si>
  <si>
    <t>53459</t>
  </si>
  <si>
    <t>OTEVŘENÁ REPOZICE NITROKLOUBNÍCH LUXAČNÍCH ZLOMENI</t>
  </si>
  <si>
    <t>53463</t>
  </si>
  <si>
    <t>OTEVŘENÁ REPOZICE A OSTEOSYNTÉZA PATELY NEBO PATEL</t>
  </si>
  <si>
    <t>53469</t>
  </si>
  <si>
    <t>ZLOMENINA DIAFÝZY A SUPRAKONDYLICKÉ OBLASTI FEMURU</t>
  </si>
  <si>
    <t>53483</t>
  </si>
  <si>
    <t>ZLOMENINA  ACETABULA - OBOU PILÍŘŮ - LÉČENÁ OTEVŘE</t>
  </si>
  <si>
    <t>66683</t>
  </si>
  <si>
    <t>AMPUTACE JEDNOHO PAPRSKU DOLNÍ KONČETINY</t>
  </si>
  <si>
    <t>66813</t>
  </si>
  <si>
    <t>ODSTRANĚNÍ OSTEOSYNTETICKÉHO MATERIÁLU</t>
  </si>
  <si>
    <t>66819</t>
  </si>
  <si>
    <t>APLIKACE ZEVNÍHO FIXATÉRU</t>
  </si>
  <si>
    <t>66823</t>
  </si>
  <si>
    <t>ODSTRANĚNÍ ZEVNÍHO FIXATÉRU</t>
  </si>
  <si>
    <t>66879</t>
  </si>
  <si>
    <t>OTEVŘENÁ SPONGIOPLASTIKA</t>
  </si>
  <si>
    <t>53457</t>
  </si>
  <si>
    <t>ZLOMENINY DOLNÍHO KONCE BÉRCE A HLEZNA S NITROKLOU</t>
  </si>
  <si>
    <t>53490</t>
  </si>
  <si>
    <t>ROZSÁHLÉ DEBRIDEMENT SLOŽITÝCH OTEVŘENÝCH ZLOMENIN</t>
  </si>
  <si>
    <t>53115</t>
  </si>
  <si>
    <t>ZAVŘENÁ REPOZICE LUXACE KARPU NEBO INTRAARTIKULÁRN</t>
  </si>
  <si>
    <t>66127</t>
  </si>
  <si>
    <t>MANIPULACE V CELKOVÉ NEBO LOKÁLNÍ ANESTÉZII</t>
  </si>
  <si>
    <t>66815</t>
  </si>
  <si>
    <t>AUTOGENNÍ ŠTĚP</t>
  </si>
  <si>
    <t>51855</t>
  </si>
  <si>
    <t>FIXAČNÍ SÁDROVÁ DLAHA - CELÁ HORNÍ KONČETINA</t>
  </si>
  <si>
    <t>53155</t>
  </si>
  <si>
    <t>OTEVŘENÁ REPOZICE - SYNTÉZA LUXACE KARPU - INTRAAR</t>
  </si>
  <si>
    <t>53471</t>
  </si>
  <si>
    <t>ZLOMENINA HORNÍHO KONCE FEMURU - REPOZICE OTEVŘENÁ</t>
  </si>
  <si>
    <t>66457</t>
  </si>
  <si>
    <t>REKONSTRUKCE VAZŮ - LOKET, PŘEDLOKTÍ</t>
  </si>
  <si>
    <t>53157</t>
  </si>
  <si>
    <t>OTEVŘENÁ REPOZICE A OSTEOSYNTÉZA ZLOMENINY JEDNÉ K</t>
  </si>
  <si>
    <t>53161</t>
  </si>
  <si>
    <t>OTEVŘENÁ REPOZICE A OSTEOSYNTÉZA IZOLOVANÉ ZLOMENI</t>
  </si>
  <si>
    <t>53257</t>
  </si>
  <si>
    <t xml:space="preserve">OTEVŘENÁ REPOZICE A OSTEOSYNTÉZA ZLOMENINY KLÍČNÍ </t>
  </si>
  <si>
    <t>53467</t>
  </si>
  <si>
    <t>ZLOMENINY TIBIÁLNÍHO NEBO FIBULÁRNÍHO PLATEAU TIBI</t>
  </si>
  <si>
    <t>53117</t>
  </si>
  <si>
    <t>ZAVŘENÁ REPOZICE LUXACE LOKETNÍHO KLOUBU NEBO HLAV</t>
  </si>
  <si>
    <t>53461</t>
  </si>
  <si>
    <t>ZLOMENINA HORNÍHO KONCE TIBIE - DIAKONDYLICKÁ - (T</t>
  </si>
  <si>
    <t>62320</t>
  </si>
  <si>
    <t>NEKREKTOMIE DO 5 % POVRCHU TĚLA - TANGENCIÁLNÍ NEB</t>
  </si>
  <si>
    <t>53485</t>
  </si>
  <si>
    <t>ZLOMENINY PÁNEVNÍHO KRUHU - NESTABILNÍ - S OPERAČN</t>
  </si>
  <si>
    <t>53515</t>
  </si>
  <si>
    <t>SUTURA ŠLACHY EXTENSORU RUKY A ZÁPĚSTÍ</t>
  </si>
  <si>
    <t>62640</t>
  </si>
  <si>
    <t>ODBĚR DERMOEPIDERMÁLNÍHO ŠTĚPU: 1 - 5 % Z PLOCHY P</t>
  </si>
  <si>
    <t>66821</t>
  </si>
  <si>
    <t>PERKUTÁNNÍ FIXACE K-DRÁTEM</t>
  </si>
  <si>
    <t>53151</t>
  </si>
  <si>
    <t>OTEVĚNÁ REPOZICE A OSTEOSYNTÉZA ZLOMENINY NEBO LUX</t>
  </si>
  <si>
    <t>66825</t>
  </si>
  <si>
    <t>UPRAVENÍ ZEVNÍHO FIXATÉRU</t>
  </si>
  <si>
    <t>62440</t>
  </si>
  <si>
    <t>ŠTĚP PŘI POPÁLENÍ (A OSTATNÍCH KOŽNÍCH ZTRÁTÁCH) D</t>
  </si>
  <si>
    <t>53255</t>
  </si>
  <si>
    <t xml:space="preserve">OTEVŘENÁ REPOZICE A OSTEOSYNTÉZA ZLOMENIN HORNÍHO </t>
  </si>
  <si>
    <t>53417</t>
  </si>
  <si>
    <t>66435</t>
  </si>
  <si>
    <t>REKONSTRUKCE PSEUDOARTROZY NEBO EXCIZE ČLUNKOVÉ KO</t>
  </si>
  <si>
    <t>53481</t>
  </si>
  <si>
    <t xml:space="preserve">ZLOMENINA  ACETABULA - JEDNOHO PILÍŘE EVENT. JEHO </t>
  </si>
  <si>
    <t>53465</t>
  </si>
  <si>
    <t>OTEVŘENÁ REPOZICE LUXACE PATELY AKUTNÍ / RECIDIVUJ</t>
  </si>
  <si>
    <t>5F5</t>
  </si>
  <si>
    <t>07550</t>
  </si>
  <si>
    <t>(DRG) ENDOVASKULÁRNÍ PŘÍSTUP PERKUTÁNNÍ NEBO S?PRE</t>
  </si>
  <si>
    <t>07258</t>
  </si>
  <si>
    <t>(DRG) ZAVEDENÍ ECMO, PERIFERNÍ KANYLACE</t>
  </si>
  <si>
    <t>07554</t>
  </si>
  <si>
    <t>(DRG) OPERAČNÍ VÝKON S MIMOTĚLNÍM OBĚHEM, PERIFERN</t>
  </si>
  <si>
    <t>55227</t>
  </si>
  <si>
    <t>IMPLANTACE ECMO (EXTRAKORPORÁLNÍ MEMBRÁNOVÁ OXYGEN</t>
  </si>
  <si>
    <t>5F6</t>
  </si>
  <si>
    <t>56119</t>
  </si>
  <si>
    <t>DEKOMPRESIVNÍ KRANIEKTOMIE</t>
  </si>
  <si>
    <t>56163</t>
  </si>
  <si>
    <t>ZEVNÍ KOMOROVÁ DRENÁŽ NEBO ZAVEDENÍ ČIDLA NA MĚŘEN</t>
  </si>
  <si>
    <t>56419</t>
  </si>
  <si>
    <t>POUŽITÍ OPERAČNÍHO MIKROSKOPU Á 15 MINUT</t>
  </si>
  <si>
    <t>65513</t>
  </si>
  <si>
    <t>PŘÍPRAVA FASCIÁLNÍHO A PERIKRANIÁLNÍHO LALOKU K RE</t>
  </si>
  <si>
    <t>66313</t>
  </si>
  <si>
    <t xml:space="preserve">DELIBERACE - ODSTRANĚNÍ ÚTLAKU - DURÁLNÍHO VAKU A </t>
  </si>
  <si>
    <t>66319</t>
  </si>
  <si>
    <t>RESEKCE JINÉ NS ČÁSTI OBRATLE - INTERVERTEBRÁLNÍHO</t>
  </si>
  <si>
    <t>66323</t>
  </si>
  <si>
    <t>PŘEDNÍ RESEKCE OBRATLOVÉHO TĚLA - SOMATEKTOMIE - I</t>
  </si>
  <si>
    <t>66329</t>
  </si>
  <si>
    <t>FŮZE PÁTEŘE - STANDARDNÍ - PŘEDNÍ - INTERSOMATICKÁ</t>
  </si>
  <si>
    <t>66339</t>
  </si>
  <si>
    <t>OPERAČNÍ PŘÍSTUP NA PÁTEŘ - STANDARDNÍ - ZADNÍ SKE</t>
  </si>
  <si>
    <t>66335</t>
  </si>
  <si>
    <t xml:space="preserve">OPERAČNÍ PŘÍSTUP NA PÁTEŘ - STANDARDNÍ - PŘEDNÍ - </t>
  </si>
  <si>
    <t>66315</t>
  </si>
  <si>
    <t xml:space="preserve">INSTRUMENTACE C, T, L, S PÁTEŘE - PŘEDNÍ I ZADNÍ, </t>
  </si>
  <si>
    <t>66337</t>
  </si>
  <si>
    <t xml:space="preserve">OPERAČNÍ PŘÍSTUP K PÁTEŘI - STANDARDNÍ - PŘEDNÍ - </t>
  </si>
  <si>
    <t>66311</t>
  </si>
  <si>
    <t xml:space="preserve">INTRADURÁLNÍ RESEKCE A PLASTIKA - KAŽDÉHO JEDNOHO </t>
  </si>
  <si>
    <t>56151</t>
  </si>
  <si>
    <t>TREPANACE PRO EXTRACEREBRÁLNÍ HEMATOM NEBO KRANIOT</t>
  </si>
  <si>
    <t>66341</t>
  </si>
  <si>
    <t>OPERAČNÍ PŘÍSTUP K PÁTEŘI - STANDARDNÍ - ZADNÍ TZV</t>
  </si>
  <si>
    <t>56435</t>
  </si>
  <si>
    <t>SPINÁLNÍ A KRANIÁLNÍ NAVIGACE Á 15 MIN.</t>
  </si>
  <si>
    <t>56177</t>
  </si>
  <si>
    <t>KRANIOTOMIE A RESEKCE, PŘÍPADNĚ LOBEKTOMIE PRO TUM</t>
  </si>
  <si>
    <t>66325</t>
  </si>
  <si>
    <t>RESEKCE OBRATLE - ZADNÍ - LAMINEKTOMIE KOMPLETNÍ J</t>
  </si>
  <si>
    <t>66331</t>
  </si>
  <si>
    <t>FŮZE PÁTEŘE - STANDARDNÍ ZADNÍ - 1 SEGMENT</t>
  </si>
  <si>
    <t>66327</t>
  </si>
  <si>
    <t>RESEKCE OBRATLE - ZADNÍ - LAMINEKTOMIE INKOMPLETNÍ</t>
  </si>
  <si>
    <t>56117</t>
  </si>
  <si>
    <t>INTRAKRANIÁLNÍ REKONSTRUKČNÍ OPERACE PŘI LIKVOREI</t>
  </si>
  <si>
    <t>56446</t>
  </si>
  <si>
    <t>SPINÁLNÍ NAVIGACE ZALOŽENÁ NA PEROPERAČNÍ ISOFLUOR</t>
  </si>
  <si>
    <t>1</t>
  </si>
  <si>
    <t>0003708</t>
  </si>
  <si>
    <t>0005113</t>
  </si>
  <si>
    <t>TARGOCID</t>
  </si>
  <si>
    <t>0006480</t>
  </si>
  <si>
    <t>0011592</t>
  </si>
  <si>
    <t>0016547</t>
  </si>
  <si>
    <t>0016600</t>
  </si>
  <si>
    <t>0017039</t>
  </si>
  <si>
    <t>VISIPAQUE</t>
  </si>
  <si>
    <t>0017041</t>
  </si>
  <si>
    <t>CEFOBID</t>
  </si>
  <si>
    <t>0020605</t>
  </si>
  <si>
    <t>COLOMYCIN INJEKCE 1 000 000 MEZINÁRODNÍCH JEDNOTEK</t>
  </si>
  <si>
    <t>0026042</t>
  </si>
  <si>
    <t>KIOVIG</t>
  </si>
  <si>
    <t>0026127</t>
  </si>
  <si>
    <t>0029979</t>
  </si>
  <si>
    <t>0029980</t>
  </si>
  <si>
    <t>0045123</t>
  </si>
  <si>
    <t>0062464</t>
  </si>
  <si>
    <t>0062465</t>
  </si>
  <si>
    <t>0064831</t>
  </si>
  <si>
    <t>0066137</t>
  </si>
  <si>
    <t>0072972</t>
  </si>
  <si>
    <t>AMOKSIKLAV 1,2 G</t>
  </si>
  <si>
    <t>0076353</t>
  </si>
  <si>
    <t>FORTUM</t>
  </si>
  <si>
    <t>0076354</t>
  </si>
  <si>
    <t>0087239</t>
  </si>
  <si>
    <t>0087240</t>
  </si>
  <si>
    <t>0091731</t>
  </si>
  <si>
    <t>0094155</t>
  </si>
  <si>
    <t>0094176</t>
  </si>
  <si>
    <t>CEFOTAXIME LEK</t>
  </si>
  <si>
    <t>0096414</t>
  </si>
  <si>
    <t>GENTAMICIN LEK</t>
  </si>
  <si>
    <t>0097000</t>
  </si>
  <si>
    <t>METRONIDAZOLE 0,5%-POLPHARMA</t>
  </si>
  <si>
    <t>0097910</t>
  </si>
  <si>
    <t>HUMAN ALBUMIN GRIFOLS 20%</t>
  </si>
  <si>
    <t>0104051</t>
  </si>
  <si>
    <t>HUMAN ALBUMIN 200 G/L BAXTER</t>
  </si>
  <si>
    <t>0112782</t>
  </si>
  <si>
    <t>GENTAMICIN B.BRAUN</t>
  </si>
  <si>
    <t>0112786</t>
  </si>
  <si>
    <t>0121238</t>
  </si>
  <si>
    <t>0121240</t>
  </si>
  <si>
    <t>0131654</t>
  </si>
  <si>
    <t>CEFTAZIDIM KABI</t>
  </si>
  <si>
    <t>0131656</t>
  </si>
  <si>
    <t>0138455</t>
  </si>
  <si>
    <t>0142077</t>
  </si>
  <si>
    <t>0151458</t>
  </si>
  <si>
    <t>CEFUROXIM KABI</t>
  </si>
  <si>
    <t>0155939</t>
  </si>
  <si>
    <t>HERPESIN 250</t>
  </si>
  <si>
    <t>0162180</t>
  </si>
  <si>
    <t>CIPROFLOXACIN KABI</t>
  </si>
  <si>
    <t>0162187</t>
  </si>
  <si>
    <t>0162809</t>
  </si>
  <si>
    <t>AVELOX</t>
  </si>
  <si>
    <t>0164401</t>
  </si>
  <si>
    <t>0166269</t>
  </si>
  <si>
    <t>0500566</t>
  </si>
  <si>
    <t>0500720</t>
  </si>
  <si>
    <t>MYCAMINE</t>
  </si>
  <si>
    <t>0129056</t>
  </si>
  <si>
    <t>0164407</t>
  </si>
  <si>
    <t>0129057</t>
  </si>
  <si>
    <t>0136083</t>
  </si>
  <si>
    <t>0201030</t>
  </si>
  <si>
    <t>0193477</t>
  </si>
  <si>
    <t>ZINFORO</t>
  </si>
  <si>
    <t>0064835</t>
  </si>
  <si>
    <t>0113453</t>
  </si>
  <si>
    <t>0149384</t>
  </si>
  <si>
    <t>ECALTA</t>
  </si>
  <si>
    <t>0156835</t>
  </si>
  <si>
    <t>0151460</t>
  </si>
  <si>
    <t>0129834</t>
  </si>
  <si>
    <t>0129836</t>
  </si>
  <si>
    <t>0182977</t>
  </si>
  <si>
    <t>0166265</t>
  </si>
  <si>
    <t>0183926</t>
  </si>
  <si>
    <t>AZEPO</t>
  </si>
  <si>
    <t>0203319</t>
  </si>
  <si>
    <t>IMMUNATE STIM PLUS 500 IU FVIII/375 IU VWF</t>
  </si>
  <si>
    <t>0141263</t>
  </si>
  <si>
    <t>PIPERACILLIN/TAZOBACTAM MYLAN</t>
  </si>
  <si>
    <t>0195147</t>
  </si>
  <si>
    <t>0183817</t>
  </si>
  <si>
    <t>0201967</t>
  </si>
  <si>
    <t>VULMIZOLIN</t>
  </si>
  <si>
    <t>0196852</t>
  </si>
  <si>
    <t>VORIKONAZOL SANDOZ</t>
  </si>
  <si>
    <t>0207309</t>
  </si>
  <si>
    <t>VORICONAZOLE ACCORD</t>
  </si>
  <si>
    <t>0173181</t>
  </si>
  <si>
    <t>IMMUNATE STIM PLUS 1000 IU FVIII/750 IU VWF</t>
  </si>
  <si>
    <t>0154244</t>
  </si>
  <si>
    <t>IMMUNINE</t>
  </si>
  <si>
    <t>0171966</t>
  </si>
  <si>
    <t>WILATE 1000</t>
  </si>
  <si>
    <t>0171965</t>
  </si>
  <si>
    <t>WILATE 500</t>
  </si>
  <si>
    <t>0173183</t>
  </si>
  <si>
    <t>0154245</t>
  </si>
  <si>
    <t>0212531</t>
  </si>
  <si>
    <t>0210993</t>
  </si>
  <si>
    <t>ZERBAXA</t>
  </si>
  <si>
    <t>0205772</t>
  </si>
  <si>
    <t>0173178</t>
  </si>
  <si>
    <t>0209906</t>
  </si>
  <si>
    <t>FACTOR VII BAXALTA</t>
  </si>
  <si>
    <t>0087199</t>
  </si>
  <si>
    <t>MAXIPIME</t>
  </si>
  <si>
    <t>0214076</t>
  </si>
  <si>
    <t>OCTAPLAS LG</t>
  </si>
  <si>
    <t>0168860</t>
  </si>
  <si>
    <t>DIFICLIR</t>
  </si>
  <si>
    <t>0224709</t>
  </si>
  <si>
    <t>ULTRAVIST 370</t>
  </si>
  <si>
    <t>0173179</t>
  </si>
  <si>
    <t>0158152</t>
  </si>
  <si>
    <t>0205966</t>
  </si>
  <si>
    <t>0183826</t>
  </si>
  <si>
    <t>ACEFA</t>
  </si>
  <si>
    <t>0087200</t>
  </si>
  <si>
    <t>0158151</t>
  </si>
  <si>
    <t>0129838</t>
  </si>
  <si>
    <t>0230686</t>
  </si>
  <si>
    <t>0218400</t>
  </si>
  <si>
    <t>COLOMYCIN</t>
  </si>
  <si>
    <t>0230687</t>
  </si>
  <si>
    <t>0242332</t>
  </si>
  <si>
    <t>0173750</t>
  </si>
  <si>
    <t>2</t>
  </si>
  <si>
    <t>0007905</t>
  </si>
  <si>
    <t>Erytrocyty z odběru plné krve</t>
  </si>
  <si>
    <t>0007917</t>
  </si>
  <si>
    <t>Erytrocyty bez buffy coatu</t>
  </si>
  <si>
    <t>0007955</t>
  </si>
  <si>
    <t>Erytrocyty deleukotizované</t>
  </si>
  <si>
    <t>0007957</t>
  </si>
  <si>
    <t>0007963</t>
  </si>
  <si>
    <t>Erytrocyty z aferézy</t>
  </si>
  <si>
    <t>0107936</t>
  </si>
  <si>
    <t>Trombocyty z buffy coatu směsné, deleukotizované</t>
  </si>
  <si>
    <t>0107959</t>
  </si>
  <si>
    <t>Trombocyty z aferézy deleukotizované</t>
  </si>
  <si>
    <t>0207921</t>
  </si>
  <si>
    <t>Plazma čerstvá zmrazená</t>
  </si>
  <si>
    <t>0407942</t>
  </si>
  <si>
    <t>Poíplatek za ozáoení</t>
  </si>
  <si>
    <t>Příplatek za ozáření</t>
  </si>
  <si>
    <t>0007964</t>
  </si>
  <si>
    <t>Erytrocyty z aferézy deleukotizované</t>
  </si>
  <si>
    <t>3</t>
  </si>
  <si>
    <t>0001018</t>
  </si>
  <si>
    <t>ŠROUB SAMOŘEZNÝ KORTIKÁLNÍ MALÝ FRAGMENTY OCEL</t>
  </si>
  <si>
    <t>0001027</t>
  </si>
  <si>
    <t>0001052</t>
  </si>
  <si>
    <t>DLAHA LC-DCP ROVNÁ MALÉ FRAGMENT OCEL</t>
  </si>
  <si>
    <t>0001719</t>
  </si>
  <si>
    <t>DRÁT CERKLÁŽNÍ OCEL</t>
  </si>
  <si>
    <t>0001739</t>
  </si>
  <si>
    <t>DRÁT KIRSCHNERŮV OCEL</t>
  </si>
  <si>
    <t>0001948</t>
  </si>
  <si>
    <t>ŠROUB SAMOŘEZNÝ KANYLOVANÝ OCEL</t>
  </si>
  <si>
    <t>0002370</t>
  </si>
  <si>
    <t>FIXÁTOR ZEVNÍ JEDNOROVIN./DVOUROVIN.TRUBKOVÝ,SYNTH</t>
  </si>
  <si>
    <t>0002408</t>
  </si>
  <si>
    <t>0002425</t>
  </si>
  <si>
    <t>0002584</t>
  </si>
  <si>
    <t>ŠROUB SAMOŘEZNÝ KORTIKÁLNÍ PÁNEV OCEL</t>
  </si>
  <si>
    <t>0003008</t>
  </si>
  <si>
    <t>DLAHA ROVNÁ REKONSTRUKČNÍ PÁNEV MALÝ FRAGMENT OCEL</t>
  </si>
  <si>
    <t>0004070</t>
  </si>
  <si>
    <t>ŠROUB LCP A VA-LCP SAMOŘEZNÝ MALÝ FRAGMENT OCEL</t>
  </si>
  <si>
    <t>0004073</t>
  </si>
  <si>
    <t>0004077</t>
  </si>
  <si>
    <t>0004080</t>
  </si>
  <si>
    <t>0005606</t>
  </si>
  <si>
    <t>NÁVLEK NA OPMI, TYP 71                      306071</t>
  </si>
  <si>
    <t>0006853</t>
  </si>
  <si>
    <t>FIXÁTOR ZEVNÍ JEDNOROVINNÝ ZÁPĚSTÍ PENNIG II DLOUH</t>
  </si>
  <si>
    <t>0006854</t>
  </si>
  <si>
    <t>0010457</t>
  </si>
  <si>
    <t>ČEP SAMOŘEZNÝ JISTÍCÍ OCEL</t>
  </si>
  <si>
    <t>0010678</t>
  </si>
  <si>
    <t>HŘEB STANDARDNÍ TIBIE OCEL TITAN</t>
  </si>
  <si>
    <t>0010767</t>
  </si>
  <si>
    <t>0012683</t>
  </si>
  <si>
    <t>IMPLANTÁT MAXILLOFACIÁLNÍ</t>
  </si>
  <si>
    <t>0012715</t>
  </si>
  <si>
    <t>0013004</t>
  </si>
  <si>
    <t>STAPLER LINEÁRNÍ - TX60B; TX60G (S PZT 0053770)</t>
  </si>
  <si>
    <t>0013009</t>
  </si>
  <si>
    <t>ZÁSOBNÍK PRO STAPLER LIN S NOŽEM - (TCR/TRT/TRD)75</t>
  </si>
  <si>
    <t>0013010</t>
  </si>
  <si>
    <t xml:space="preserve">STAPLER LINEÁRNÍ S NOŽEM - TCT75; TLC75; TCD75 (S </t>
  </si>
  <si>
    <t>0017413</t>
  </si>
  <si>
    <t>ŠROUB SPONGIOZNÍ MALÝ FRAGMENT OCEL</t>
  </si>
  <si>
    <t>0017422</t>
  </si>
  <si>
    <t>ŠROUB KORTIKÁLNÍ VELKÝ FRAGMENT OCEL</t>
  </si>
  <si>
    <t>0017424</t>
  </si>
  <si>
    <t>0017749</t>
  </si>
  <si>
    <t>0017751</t>
  </si>
  <si>
    <t>0024982</t>
  </si>
  <si>
    <t xml:space="preserve">KOTVIČKA TITANOVÁ PRO CHIR.RUKY MINI,MINI LS,MINI </t>
  </si>
  <si>
    <t>0027737</t>
  </si>
  <si>
    <t>DLAHA LCP ROVNÁ MALÝ FRAGMENT OCEL</t>
  </si>
  <si>
    <t>0027766</t>
  </si>
  <si>
    <t>DLAHA LCP ROVNÁ VELKÝ FRAGMENT OCEL</t>
  </si>
  <si>
    <t>0027807</t>
  </si>
  <si>
    <t>DLAHA ROVNÁ LCP REKONSTRUKČNÍ MALÝ FRAGMENT OCEL</t>
  </si>
  <si>
    <t>0027930</t>
  </si>
  <si>
    <t>STENT PERIFERNÍ URETERÁLNÍ WHITE STAR INTRAOPERATI</t>
  </si>
  <si>
    <t>0030400</t>
  </si>
  <si>
    <t>ŠROUB LCP SAMOŘEZNÝ VELKÝ FRAGMENT OCEL</t>
  </si>
  <si>
    <t>0030409</t>
  </si>
  <si>
    <t>0030415</t>
  </si>
  <si>
    <t>0030454</t>
  </si>
  <si>
    <t>ŠROUB LCP SAMOŘEZNÝ MALÝ FRAGMENT TITAN</t>
  </si>
  <si>
    <t>0030458</t>
  </si>
  <si>
    <t>0030462</t>
  </si>
  <si>
    <t>0030501</t>
  </si>
  <si>
    <t>ŠROUB LCP SAMOŘEZNÝ VELKÝ FRAGMENT TITAN</t>
  </si>
  <si>
    <t>0030509</t>
  </si>
  <si>
    <t>0030617</t>
  </si>
  <si>
    <t>STAPLER KOŽNÍ ROYAL - 35W</t>
  </si>
  <si>
    <t>0031337</t>
  </si>
  <si>
    <t>0031437</t>
  </si>
  <si>
    <t>DLAHA LCP A VA-LCP HUMERUS DISTÁLNÍ MALÝ FRAGMENT</t>
  </si>
  <si>
    <t>0031933</t>
  </si>
  <si>
    <t>ZASLEPOVACÍ HLAVA TIBIE ÚHLOVĚ STABILNÍ TITAN</t>
  </si>
  <si>
    <t>0031983</t>
  </si>
  <si>
    <t>ŠROUB STARDRIVE ZAJIŠŤOVACÍ TITAN</t>
  </si>
  <si>
    <t>0034884</t>
  </si>
  <si>
    <t>0035016</t>
  </si>
  <si>
    <t>HŘEB TIBIE UHLOVĚ STABILNÍ TITAN</t>
  </si>
  <si>
    <t>0037145</t>
  </si>
  <si>
    <t>PROTÉZA GORE-TEX CÉVNÍ - PRUŽNÁ TENKOSTĚNNÁ</t>
  </si>
  <si>
    <t>0037174</t>
  </si>
  <si>
    <t>PROTÉZA GORE-TEX CÉVNÍ - PRUŽNÁ TENK.S ODSTR.KROUŽ</t>
  </si>
  <si>
    <t>0038482</t>
  </si>
  <si>
    <t>DRÁT VODÍCÍ GUIDE WIRE M</t>
  </si>
  <si>
    <t>0042251</t>
  </si>
  <si>
    <t>CEMENT KOSTNÍ COPAL G+C - 40 GENTAMICIN A CLINDAMY</t>
  </si>
  <si>
    <t>0042394</t>
  </si>
  <si>
    <t>ŠROUB KORTIKÁLNÍ HEXA DRIVE 7, APTUS RADIUS 2,5</t>
  </si>
  <si>
    <t>0043984</t>
  </si>
  <si>
    <t>ČIDLO PRO MĚŘENÍ NITROLEBNÍHO TLAKU NEUROVENT</t>
  </si>
  <si>
    <t>0046894</t>
  </si>
  <si>
    <t>PROTÉZA CÉVNÍ GELSOFT PLUS DÉLKA 30/25 CM</t>
  </si>
  <si>
    <t>0046896</t>
  </si>
  <si>
    <t>PROTÉZA CÉVNÍ GELSOFT PLUS DÉLKA 15 CM</t>
  </si>
  <si>
    <t>0046898</t>
  </si>
  <si>
    <t>PROTÉZA CÉVNÍ BIF.GELSOFT PLUS DÉLKA 45CM</t>
  </si>
  <si>
    <t>0048989</t>
  </si>
  <si>
    <t>ELEKTRODA KOAGULAČNÍ JEDNORÁZOVÁ GN211</t>
  </si>
  <si>
    <t>0051334</t>
  </si>
  <si>
    <t>KATETR URETERÁLNÍ,POLLACK,FLEXI-TIP U-021305</t>
  </si>
  <si>
    <t>0051607</t>
  </si>
  <si>
    <t>SADA GASTROSTOMICKÁ - PEG</t>
  </si>
  <si>
    <t>0051735</t>
  </si>
  <si>
    <t>SHUNT KAROTICKÝ PŘÍMÝ</t>
  </si>
  <si>
    <t>0051990</t>
  </si>
  <si>
    <t>KATETR URETER.PŘÍMÉ OLIV.,FLÉT.,CYL. ZAK.- AC50..5</t>
  </si>
  <si>
    <t>0052832</t>
  </si>
  <si>
    <t>STENT PERIFERNÍ URETERÁLNÍ OPTIPUR,POLYURETAN</t>
  </si>
  <si>
    <t>0052834</t>
  </si>
  <si>
    <t>STENT PERIFERNÍ URETERÁLNÍ OPTIMED,POLYURETAN</t>
  </si>
  <si>
    <t>0053772</t>
  </si>
  <si>
    <t>STAPLER LINEÁRNÍ S NOŽEM - TCT10; TLC10 (S PZT 005</t>
  </si>
  <si>
    <t>0053774</t>
  </si>
  <si>
    <t>ZÁSOBNÍK PRO STAPLER LINEÁRNÍ S NOŽEM - TRT10,TCR1</t>
  </si>
  <si>
    <t>0053801</t>
  </si>
  <si>
    <t>ECMO - OXYGENÁTOR (PMP MEMBÁNA) - PLS SET - 14 DNÍ</t>
  </si>
  <si>
    <t>0056289</t>
  </si>
  <si>
    <t>KATETR BALÓNKOVÝ FOGARTY EMBOLEKTOMICKÝ - 120803F</t>
  </si>
  <si>
    <t>0056291</t>
  </si>
  <si>
    <t>KATETR BALÓNKOVÝ FOGARTY EMBOLEKTOMICKÝ - 120804F</t>
  </si>
  <si>
    <t>0056292</t>
  </si>
  <si>
    <t>KATETR BALÓNKOVÝ FOGARTY EMBOLEKTOMICKÝ - 120805F</t>
  </si>
  <si>
    <t>0056301</t>
  </si>
  <si>
    <t>KATETR BALÓNKOVÝ FOGARTY EMBOLEKTOMICKÝ - TRU-LUME</t>
  </si>
  <si>
    <t>0056306</t>
  </si>
  <si>
    <t>KATETR BALÓNKOVÝ FOGARTY OKLUZNÍ - 620405F</t>
  </si>
  <si>
    <t>0057937</t>
  </si>
  <si>
    <t>ZÁPLATA KARDIOVASKULÁRNÍ GORE-TEX 0,5MM</t>
  </si>
  <si>
    <t>0058376</t>
  </si>
  <si>
    <t>ANTIREFLUXNÍ PLASTIKA DRG 90823</t>
  </si>
  <si>
    <t>0058622</t>
  </si>
  <si>
    <t>STENT PERIFERNÍ URETERÁLNÍ WHITE STAR STENOSIS</t>
  </si>
  <si>
    <t>0062228</t>
  </si>
  <si>
    <t>SÍŤKA KÝLNÍ EXTRAPER.PROLENE NEVSTŘEBATELNÁ</t>
  </si>
  <si>
    <t>0067020</t>
  </si>
  <si>
    <t xml:space="preserve">IMPLANTÁT SPINÁLNÍ SYSTÉM CERVIFIX                </t>
  </si>
  <si>
    <t>0067160</t>
  </si>
  <si>
    <t>IMPLANTÁT ORBITÁLNÍ PDS ZX3,ZX4,ZX7 VSTŘEBATELNÝ</t>
  </si>
  <si>
    <t>0067415</t>
  </si>
  <si>
    <t>IMPLANTÁT SPINÁLNÍ SYSTÉM CASPAR KRČNÍ  PŘEDNÍ PŘÍ</t>
  </si>
  <si>
    <t>0067418</t>
  </si>
  <si>
    <t>0067537</t>
  </si>
  <si>
    <t>0069500</t>
  </si>
  <si>
    <t>KANYLA TRACHEOSTOMICKÁ S NÍZKOTLAKOU MANŽETOU</t>
  </si>
  <si>
    <t>0071602</t>
  </si>
  <si>
    <t>FIXÁTOR ZEVNÍ JEDNOROVIN./DVOUROVIN.TRUBKOVÝ SYNTH</t>
  </si>
  <si>
    <t>0073578</t>
  </si>
  <si>
    <t>ŠROUB SAMOŘEZNÝ KORTIKÁLNÍ MINI FRAGMENT TITAN</t>
  </si>
  <si>
    <t>0073660</t>
  </si>
  <si>
    <t>0073679</t>
  </si>
  <si>
    <t>0074312</t>
  </si>
  <si>
    <t>ŠROUB KOMPRESNÍ ZAVÍRACÍ TARGON</t>
  </si>
  <si>
    <t>0074314</t>
  </si>
  <si>
    <t>ŠROUB ZAJIŠŤOVACÍ  TITANOVÝ TARGON</t>
  </si>
  <si>
    <t>0074317</t>
  </si>
  <si>
    <t>0074721</t>
  </si>
  <si>
    <t>HŘEB FEMORÁLNÍ PROXIMÁLNÍ TITANOVÝ DLOUHÝ TARGON P</t>
  </si>
  <si>
    <t>0074722</t>
  </si>
  <si>
    <t>HŘEB FEMORÁLNÍ PROXIMÁLNÍ TITANOVÝ KRÁTKÝ TARGON P</t>
  </si>
  <si>
    <t>0074723</t>
  </si>
  <si>
    <t>ŠROUB ZAJIŠŤOVACÍ, SAMOŘEZNÝ, UZAMYKATELNÝ TI TARG</t>
  </si>
  <si>
    <t>0077759</t>
  </si>
  <si>
    <t>HŘEB HUMERÁLNÍ PROXIMÁLNÍ NITRODŘEŇOVÝ TITANOVÝ TA</t>
  </si>
  <si>
    <t>0077760</t>
  </si>
  <si>
    <t>HŘEB HUMERÁLNÍ NITRODŘEŇOVÝ TITANOVÝ TARGON H</t>
  </si>
  <si>
    <t>0077761</t>
  </si>
  <si>
    <t>ŠROUB ZAJIŠŤOVACÍ  TITANOVÝ TARGON PH/H</t>
  </si>
  <si>
    <t>0077762</t>
  </si>
  <si>
    <t>0082079</t>
  </si>
  <si>
    <t>KRYTÍ COM 30 OBVAZOVÁ TEXTÍLIE KOMBINOVANÁ</t>
  </si>
  <si>
    <t>0083205</t>
  </si>
  <si>
    <t>DLAHA LCP PÁNEV SYMFÝZA OCEL</t>
  </si>
  <si>
    <t>0083212</t>
  </si>
  <si>
    <t>DLAHA LCP NIZKOPROFILOVÁ  REKONSTRUKČNÍ PÁNEV OCEL</t>
  </si>
  <si>
    <t>0083228</t>
  </si>
  <si>
    <t>DLAHA LCP TIBIE DISTÁLNÍ MEDIÁLNÍ MALÝ FRAGMENT OC</t>
  </si>
  <si>
    <t>0083233</t>
  </si>
  <si>
    <t>0083991</t>
  </si>
  <si>
    <t>ŠROUB ZAMYKACÍ HEXA DRIVE 7, APTUS RADIUS 2,5</t>
  </si>
  <si>
    <t>0083992</t>
  </si>
  <si>
    <t>0091802</t>
  </si>
  <si>
    <t>IMPLANTÁT KOSTNÍ UMĚLÁ NÁHRADA ŠTĚPU  CHRONOS STRI</t>
  </si>
  <si>
    <t>0092078</t>
  </si>
  <si>
    <t>STAPLER LINEÁRNÍ S NOŽEM - CONTOUR; ZAHNUTÝ, NÍZKÁ</t>
  </si>
  <si>
    <t>0092079</t>
  </si>
  <si>
    <t>ZÁSOBNÍK PRO LINEÁRNÍ STAPLER - CR40B,CR40G (PRO P</t>
  </si>
  <si>
    <t>0097790</t>
  </si>
  <si>
    <t>DLAHA LCP HUMERUS DISTÁLNÍ MALÝ FRAGMENT TITAN</t>
  </si>
  <si>
    <t>0097804</t>
  </si>
  <si>
    <t>0097808</t>
  </si>
  <si>
    <t>ŠROUB LCP SAMOŘEZNÝ MALÝ FRAGMNET TITAN</t>
  </si>
  <si>
    <t>0097876</t>
  </si>
  <si>
    <t>PODLOŽKA MALÝ FRAGMENT TITAN</t>
  </si>
  <si>
    <t>0098656</t>
  </si>
  <si>
    <t>ŠROUB KANYLOVANÝ TI T-DRIVE</t>
  </si>
  <si>
    <t>0098685</t>
  </si>
  <si>
    <t>PODLOŽKA TI</t>
  </si>
  <si>
    <t>0099076</t>
  </si>
  <si>
    <t>HŘEB FEMORÁLNÍ PROXIMÁLNÍ, TI</t>
  </si>
  <si>
    <t>0099081</t>
  </si>
  <si>
    <t>ŠROUB KOTVÍCÍ, TI</t>
  </si>
  <si>
    <t>0099484</t>
  </si>
  <si>
    <t>ŠROUB ZAJIŠŤ.,PLNÝ ZÁVIT,PR. 5MM, TI</t>
  </si>
  <si>
    <t>0099754</t>
  </si>
  <si>
    <t>0099756</t>
  </si>
  <si>
    <t>HŘEB KANYLOVANÝ FEMUR LATERÁLNÍ TITAN</t>
  </si>
  <si>
    <t>0099934</t>
  </si>
  <si>
    <t>ŠROUB SAMOVRTNÝ KANYLOVANÝ VELKÝ FRAGMENT TITAN</t>
  </si>
  <si>
    <t>0099935</t>
  </si>
  <si>
    <t>0105745</t>
  </si>
  <si>
    <t xml:space="preserve">DLAHA RADIÁLNÍ VOLÁRNÍ PRO FIXACI FRAK.V DISTÁLNÍ </t>
  </si>
  <si>
    <t>0105747</t>
  </si>
  <si>
    <t>0105749</t>
  </si>
  <si>
    <t>ŠROUB KORTIKÁLNÍ/HLADKÝ PRO FIXACI FRAK.V DIST.ČÁS</t>
  </si>
  <si>
    <t>0108142</t>
  </si>
  <si>
    <t>DLAHA VOLÁRNÍ WATERSHED, APTUS RADIUS 2,5</t>
  </si>
  <si>
    <t>0108143</t>
  </si>
  <si>
    <t>DLAHA VOLÁRNÍ WATERSHED, DLOUHÁ, APTUS RADIUS 2,5</t>
  </si>
  <si>
    <t>0111983</t>
  </si>
  <si>
    <t>ŠROUB KOMPRESNÍ HBS2 TI T-DRIVE</t>
  </si>
  <si>
    <t>0112074</t>
  </si>
  <si>
    <t>CEMENT KOSTNÍ VANCOGENX VANCOMYCIN+GENTAMICIN 1X40</t>
  </si>
  <si>
    <t>0163241</t>
  </si>
  <si>
    <t xml:space="preserve">IMPLANTÁT MAXILLOFACIÁLNÍ STŘEDNÍ OBLIČEJOVÁ ETÁŽ </t>
  </si>
  <si>
    <t>0163243</t>
  </si>
  <si>
    <t>0163249</t>
  </si>
  <si>
    <t>0163251</t>
  </si>
  <si>
    <t>0163261</t>
  </si>
  <si>
    <t>0163264</t>
  </si>
  <si>
    <t>0163266</t>
  </si>
  <si>
    <t>0111984</t>
  </si>
  <si>
    <t>0013054</t>
  </si>
  <si>
    <t>STAPLER KOŽNÍ, 35 NEREZ.OCEL. NÁPLNÍ PMW35,PMR35</t>
  </si>
  <si>
    <t>0048653</t>
  </si>
  <si>
    <t>PROSTŘEDEK HEMOSTATICKÝ - SURGICEL</t>
  </si>
  <si>
    <t>0031475</t>
  </si>
  <si>
    <t>DLAHA LCP MALÝ FRAGMENT OCEL</t>
  </si>
  <si>
    <t>0031490</t>
  </si>
  <si>
    <t>DLAHA LCP TIBIE PROXIMÁLNÍ VELKÝ FRAGMENT OCEL TIT</t>
  </si>
  <si>
    <t>0097835</t>
  </si>
  <si>
    <t>DRÁT VODÍCÍ</t>
  </si>
  <si>
    <t>0111959</t>
  </si>
  <si>
    <t>DLAHA PRO DISTÁLNÍ ULNU, APTUS RADIUS 2,5</t>
  </si>
  <si>
    <t>0111988</t>
  </si>
  <si>
    <t>0083990</t>
  </si>
  <si>
    <t>0073963</t>
  </si>
  <si>
    <t>0001223</t>
  </si>
  <si>
    <t>ŠROUB SAMOŘEZNÝ KORTIKÁLNÍ RUKA OCEL</t>
  </si>
  <si>
    <t>0042396</t>
  </si>
  <si>
    <t>0082145</t>
  </si>
  <si>
    <t>NPWT-RENASYS GO SBĚRNÁ NÁDOBA MALÁ</t>
  </si>
  <si>
    <t>0097802</t>
  </si>
  <si>
    <t>DLAHA LCP HUMERUS DISTÁLNÍ MALÝ FRAGMENT OCEL TITA</t>
  </si>
  <si>
    <t>0081995</t>
  </si>
  <si>
    <t>NPWT-RENASYS EZ SBĚRNÁ NÁDOBA VELKÁ</t>
  </si>
  <si>
    <t>0006849</t>
  </si>
  <si>
    <t>ŠROUB KORTIKÁLNÍ PRO PENNIG                3510X</t>
  </si>
  <si>
    <t>0017747</t>
  </si>
  <si>
    <t>0083886</t>
  </si>
  <si>
    <t>PROXIMÁLNÍ KOMPRESNÍ ŠROUB, PRO RADIUS / ULNU</t>
  </si>
  <si>
    <t>0083885</t>
  </si>
  <si>
    <t>ŠROUB ZAJIŠŤOVACÍ DISTÁLNÍ, PRO RADIUS / ULNU, MON</t>
  </si>
  <si>
    <t>0083884</t>
  </si>
  <si>
    <t>ŠROUB ZAJIŠŤOVACÍ PROXIMÁLNÍ, PRO RADIUS / ULNU</t>
  </si>
  <si>
    <t>0083883</t>
  </si>
  <si>
    <t>HŘEB PRO RADIUS / ULNU, TITANOVÝ</t>
  </si>
  <si>
    <t>0082142</t>
  </si>
  <si>
    <t>NPWT-RENASYS F PŘEVAZOVÝ SET STŘEDNÍ M</t>
  </si>
  <si>
    <t>0054443</t>
  </si>
  <si>
    <t>OBĚH MIMOTĚLNÍ - OXYGENÁTOR-SADA PŘÍSLUŠENSTVÍ,ECM</t>
  </si>
  <si>
    <t>0042395</t>
  </si>
  <si>
    <t>0082141</t>
  </si>
  <si>
    <t>NPWT-RENASYS F PŘEVAZOVÝ SET MALÝ S</t>
  </si>
  <si>
    <t>0026142</t>
  </si>
  <si>
    <t>KANYLA TRACHEOSTOMICKÁ S NASTAVITELNÝM ÚCHYTEM</t>
  </si>
  <si>
    <t>0082143</t>
  </si>
  <si>
    <t>NPWT-RENASYS F PŘEVAZOVÝ SET VELKÝ L</t>
  </si>
  <si>
    <t>0049999</t>
  </si>
  <si>
    <t>EXTRAKTOR KOŽNÍCH SVOREK - PROXIMATE</t>
  </si>
  <si>
    <t>0019159</t>
  </si>
  <si>
    <t>DLAHA PRO ŽEBRA</t>
  </si>
  <si>
    <t>0073264</t>
  </si>
  <si>
    <t>K-DRÁT MEDIN</t>
  </si>
  <si>
    <t>0114292</t>
  </si>
  <si>
    <t>IMPLANTÁT SPINÁL.NÁHRADA MEZIOBRATL. FUSION CAGE K</t>
  </si>
  <si>
    <t>0043968</t>
  </si>
  <si>
    <t>0002263</t>
  </si>
  <si>
    <t>FIXÁTOR ZEVNÍ JEDNOROVINNÝ TUBULÁRNÍ,SYNTHES KOSTI</t>
  </si>
  <si>
    <t>0107930</t>
  </si>
  <si>
    <t>ŠROUB CHARLOTTE FIXACE NOHY</t>
  </si>
  <si>
    <t>0152127</t>
  </si>
  <si>
    <t>STAPLER LINEÁRNÍ S NOŽEM - LC6045 (PRO PZT 0152133</t>
  </si>
  <si>
    <t>0152133</t>
  </si>
  <si>
    <t>ZÁSOBNÍK PRO STAPLER LINEÁR. S NOŽEM LCC6045/8038/</t>
  </si>
  <si>
    <t>0152130</t>
  </si>
  <si>
    <t>STAPLER LINEÁRNÍ S NOŽEM - LC8045 (PRO PZT 0152134</t>
  </si>
  <si>
    <t>0031470</t>
  </si>
  <si>
    <t>DLAHA LCP TIBIE PROXIMÁLNÍ OCEL MALÝ FRAGMENT TITA</t>
  </si>
  <si>
    <t>0170137</t>
  </si>
  <si>
    <t>NPWT-RENASYS GO SBĚRNÁ NÁDOBA VELKÁ</t>
  </si>
  <si>
    <t>0114270</t>
  </si>
  <si>
    <t>IMPLANTÁT SPINÁLNÍ FIXAČNÍ SYSTÉM FJS HRUD/BED.ZAD</t>
  </si>
  <si>
    <t>0114283</t>
  </si>
  <si>
    <t>IMPLANTÁT SPINÁLNÍ FIXAČNÍ SYSTÉM USMART HRUD/BED.</t>
  </si>
  <si>
    <t>0114286</t>
  </si>
  <si>
    <t>0142062</t>
  </si>
  <si>
    <t>0114288</t>
  </si>
  <si>
    <t>0114289</t>
  </si>
  <si>
    <t>0001344</t>
  </si>
  <si>
    <t>DRÁT VODÍCÍ ZÁVITOVÝ OCEL</t>
  </si>
  <si>
    <t>0142096</t>
  </si>
  <si>
    <t>0142063</t>
  </si>
  <si>
    <t>0142097</t>
  </si>
  <si>
    <t>0151533</t>
  </si>
  <si>
    <t>ZÁSOBNÍK KLIPÚ TITANOVÝCH SMALL</t>
  </si>
  <si>
    <t>0052079</t>
  </si>
  <si>
    <t>ZAVADĚČ VENÓZNÍ</t>
  </si>
  <si>
    <t>0142105</t>
  </si>
  <si>
    <t>0051815</t>
  </si>
  <si>
    <t>KATETR SINGL.LOOP K TU/PERK.DREN.LEDV.,VODIČ FIX.P</t>
  </si>
  <si>
    <t>0142054</t>
  </si>
  <si>
    <t xml:space="preserve">IMPLANTÁT KRANIOFACIÁLNÍ LA FÓRTE SYSTÉM, SLITINA </t>
  </si>
  <si>
    <t>0169472</t>
  </si>
  <si>
    <t>NPWT-SET PRO PODTLAK.TERAPII RENASYS-F/AB ABDOMINA</t>
  </si>
  <si>
    <t>0170138</t>
  </si>
  <si>
    <t>NPWT-RENASYS MĚKKÝ PORT</t>
  </si>
  <si>
    <t>0142154</t>
  </si>
  <si>
    <t>DLAHA ŽEBERNÍ KLIPOVACÍ; OCEL</t>
  </si>
  <si>
    <t>0030705</t>
  </si>
  <si>
    <t>0112844</t>
  </si>
  <si>
    <t>FIXÁTOR ZEVNÍ JEDNOROVINNÝ ZÁPĚSTÍ PENNIG II RADIU</t>
  </si>
  <si>
    <t>0053393</t>
  </si>
  <si>
    <t>DRÁT VODÍCÍ HYDROFILNÍ P18 150H,P25 150H,P32 150H,</t>
  </si>
  <si>
    <t>0001974</t>
  </si>
  <si>
    <t>PODLOŽKA SPONGIOZNÍ OCEL</t>
  </si>
  <si>
    <t>0112845</t>
  </si>
  <si>
    <t>0163216</t>
  </si>
  <si>
    <t>IMPLANTÁT KRANIOFACIÁLNÍ LA FÓRTE SYSTÉM</t>
  </si>
  <si>
    <t>0059528</t>
  </si>
  <si>
    <t>KLIP - CÉVNÍ - 6 KLIPŮ - HORIZON TM</t>
  </si>
  <si>
    <t>0005601</t>
  </si>
  <si>
    <t>NÁVLEK NA OPMI, TYP 18                      326018</t>
  </si>
  <si>
    <t>0070613</t>
  </si>
  <si>
    <t>NÁHRADA LOKETNÍHO KLOUBU EXPLOR</t>
  </si>
  <si>
    <t>0030488</t>
  </si>
  <si>
    <t>0081996</t>
  </si>
  <si>
    <t>NPWT-RENASYS Y KONEKTOR</t>
  </si>
  <si>
    <t>0070614</t>
  </si>
  <si>
    <t>0081999</t>
  </si>
  <si>
    <t>NPWT-V.A.C. GRANUFOAM (PU PĚNA) VELIKOST S</t>
  </si>
  <si>
    <t>0163207</t>
  </si>
  <si>
    <t>00651</t>
  </si>
  <si>
    <t>OD TYPU 51 - PRO NEMOCNICE TYPU 3, (KATEGORIE 6) -</t>
  </si>
  <si>
    <t>00655</t>
  </si>
  <si>
    <t>OD TYPU 55 - PRO NEMOCNICE TYPU 3, (KATEGORIE 6) -</t>
  </si>
  <si>
    <t>04825</t>
  </si>
  <si>
    <t>REPOZICE SUBLUX. ZUBU ČI FRAKTURY ALVEOLU, SEXT.</t>
  </si>
  <si>
    <t>04830</t>
  </si>
  <si>
    <t>SUTURA RÁNY SLIZNICE DO 5 CM, 1 VRSTVA</t>
  </si>
  <si>
    <t>04831</t>
  </si>
  <si>
    <t>SUTURA RÁNY SLIZNICE NAD 5 CM NEBO VÍCE VRSTEV</t>
  </si>
  <si>
    <t>11505</t>
  </si>
  <si>
    <t>SPECIÁLNÍ PARENTERÁLNÍ VÝŽIVA</t>
  </si>
  <si>
    <t>11506</t>
  </si>
  <si>
    <t>PLNOHODNOTNÁ PARENTERÁLNÍ VÝŽIVA</t>
  </si>
  <si>
    <t>15960</t>
  </si>
  <si>
    <t>ENDOSKOPICKÁ GASTROSTOMIE - PŘIČTI K CENĚ ZÁKLADNÍ</t>
  </si>
  <si>
    <t>51022</t>
  </si>
  <si>
    <t>CÍLENÉ VYŠETŘENÍ CHIRURGEM</t>
  </si>
  <si>
    <t>61113</t>
  </si>
  <si>
    <t xml:space="preserve">REVIZE, EXCIZE A SUTURA PORANĚNÍ KŮŽE A PODKOŽÍ A </t>
  </si>
  <si>
    <t>61143</t>
  </si>
  <si>
    <t>ODBĚR CÉVNÍHO ŠTĚPU MALÉHO KALIBRU (PRO MIKROCHIRU</t>
  </si>
  <si>
    <t>61147</t>
  </si>
  <si>
    <t>UZAVŘENÍ DEFEKTU KOŽNÍM LALOKEM MÍSTNÍM DO 10 CM^2</t>
  </si>
  <si>
    <t>61149</t>
  </si>
  <si>
    <t xml:space="preserve">UZAVŘENÍ DEFEKTU  KOŽNÍM LALOKEM MÍSTNÍM OD 10 DO </t>
  </si>
  <si>
    <t>65613</t>
  </si>
  <si>
    <t>EXCIZE LÉZE V ÚSTNÍ DUTINĚ - OD 2 CM DO 4 CM</t>
  </si>
  <si>
    <t>66623</t>
  </si>
  <si>
    <t>PROSTÁ EXTRAKCE ENDOPROTÉZY - CEMENTOVANÉ</t>
  </si>
  <si>
    <t>66659</t>
  </si>
  <si>
    <t>SYNOVEKTOMIE KOLENA A DALŠÍCH VELKÝCH KLOUBŮ</t>
  </si>
  <si>
    <t>66919</t>
  </si>
  <si>
    <t>SEKVESTROTOMIE</t>
  </si>
  <si>
    <t>71131</t>
  </si>
  <si>
    <t xml:space="preserve">POUŽITÍ VYŠETŘOVACÍHO MIKROSKOPU V ORL AMBULANTNÍ </t>
  </si>
  <si>
    <t>71311</t>
  </si>
  <si>
    <t>LARYNGOSKOPIE PŘÍMÁ</t>
  </si>
  <si>
    <t>71621</t>
  </si>
  <si>
    <t>ELEKTROKOAGULACE NOSNÍ SLIZNICE</t>
  </si>
  <si>
    <t>75323</t>
  </si>
  <si>
    <t>PENETRUJÍCÍ A PERFORUJÍCÍ PORANĚNÍ OKA</t>
  </si>
  <si>
    <t>76397</t>
  </si>
  <si>
    <t>INCIZE A DRENÁŽ PERIURETRÁLNÍHO ABSCESU, HEMATOMU</t>
  </si>
  <si>
    <t>76557</t>
  </si>
  <si>
    <t xml:space="preserve">TRANSURETRÁLNÍ RESEKCE TUMORU MOČOVÉHO MĚCHÝŘE DO </t>
  </si>
  <si>
    <t>78813</t>
  </si>
  <si>
    <t>CVVH - KONTINUÁLNÍ VENOVENÓZNÍ HEMOFILTRACE</t>
  </si>
  <si>
    <t>89198</t>
  </si>
  <si>
    <t>SKIASKOPIE</t>
  </si>
  <si>
    <t>00880</t>
  </si>
  <si>
    <t>ROZLIŠENÍ VYKÁZANÉ HOSPITALIZACE JAKO: = NOVÁ HOSP</t>
  </si>
  <si>
    <t>00881</t>
  </si>
  <si>
    <t>ROZLIŠENÍ VYKÁZANÉ HOSPITALIZACE JAKO: = POKRAČOVÁ</t>
  </si>
  <si>
    <t>90901</t>
  </si>
  <si>
    <t>(DRG) DOBA TRVÁNÍ UMĚLÉ PLICNÍ VENTILACE DO 24 HOD</t>
  </si>
  <si>
    <t>90902</t>
  </si>
  <si>
    <t>99981</t>
  </si>
  <si>
    <t xml:space="preserve">(VZP) PACIENT HOSPITALIZOVANÝ V LŮŽKOVÉM ZAŘÍZENÍ </t>
  </si>
  <si>
    <t>90906</t>
  </si>
  <si>
    <t>09567</t>
  </si>
  <si>
    <t>ZÁKROK NA LEVÉ STRANĚ</t>
  </si>
  <si>
    <t>09233</t>
  </si>
  <si>
    <t>INJEKČNÍ OKRSKOVÁ ANESTÉZIE</t>
  </si>
  <si>
    <t>90903</t>
  </si>
  <si>
    <t>71719</t>
  </si>
  <si>
    <t>VÝMĚNA TRACHEOSTOMICKÉ KANYLY</t>
  </si>
  <si>
    <t>00658</t>
  </si>
  <si>
    <t>OD TYPU 58 - PRO NEMOCNICE TYPU 3, (KATEGORIE 6) -</t>
  </si>
  <si>
    <t>99999</t>
  </si>
  <si>
    <t>Nespecifikovany vykon</t>
  </si>
  <si>
    <t>00653</t>
  </si>
  <si>
    <t>OD TYPU 53 - PRO NEMOCNICE TYPU 3, (KATEGORIE 6) -</t>
  </si>
  <si>
    <t>00657</t>
  </si>
  <si>
    <t>OD TYPU 57 - PRO NEMOCNICE TYPU 3, (KATEGORIE 6) -</t>
  </si>
  <si>
    <t>76555</t>
  </si>
  <si>
    <t>KOAGULACE V MĚCHÝŘI NEBO URETŘE, DISCIZE URETER. Ú</t>
  </si>
  <si>
    <t>76531</t>
  </si>
  <si>
    <t>CYSTOURETROSKOPIE</t>
  </si>
  <si>
    <t>51111</t>
  </si>
  <si>
    <t>OPERACE CYSTY NEBO HEMANGIOMU NEBO LIPOMU NEBO PIL</t>
  </si>
  <si>
    <t>71749</t>
  </si>
  <si>
    <t>BLOKOVÁ DISEKCE KRČNÍCH UZLIN</t>
  </si>
  <si>
    <t>00652</t>
  </si>
  <si>
    <t>OD TYPU 52 - PRO NEMOCNICE TYPU 3, (KATEGORIE 6) -</t>
  </si>
  <si>
    <t>51021</t>
  </si>
  <si>
    <t>KOMPLEXNÍ VYŠETŘENÍ CHIRURGEM</t>
  </si>
  <si>
    <t>62710</t>
  </si>
  <si>
    <t>SÍŤOVÁNÍ (MESHOVÁNÍ) ŠTĚPU DO ROZSAHU 5 % Z POVRCH</t>
  </si>
  <si>
    <t>76801</t>
  </si>
  <si>
    <t>POUŽITÍ TELEVIZNÍHO ŘETĚZCE PŘI ENDOSKOPICKÉM VÝKO</t>
  </si>
  <si>
    <t>71639</t>
  </si>
  <si>
    <t>ENDOSKOPICKÁ OPERACE V NOSNÍ DUTINĚ</t>
  </si>
  <si>
    <t>62610</t>
  </si>
  <si>
    <t>ODBĚR DERMOEPIDERMÁLNÍHO ŠTĚPU DO 1 % POVRCHU TĚLA</t>
  </si>
  <si>
    <t>76565</t>
  </si>
  <si>
    <t>BIOPSIE EV. EXTRAKCE Z MĚCHÝŘE - CIZÍ TĚLESO, KONK</t>
  </si>
  <si>
    <t>61121</t>
  </si>
  <si>
    <t>CÉVNÍ ANASTOMOSA MIKROCHIRURGICKOU TECHNIKOU</t>
  </si>
  <si>
    <t>99980</t>
  </si>
  <si>
    <t>(DRG) PACIENT S DIAGNOSTIKOVANÝM POLYTRAUMATEM S I</t>
  </si>
  <si>
    <t>65211</t>
  </si>
  <si>
    <t>OŠETŘENÍ ZLOMENINY ČELISTI DESTIČKOVOU ŠROUBOVANOU</t>
  </si>
  <si>
    <t>78310</t>
  </si>
  <si>
    <t xml:space="preserve">NEODKLADNÁ KARDIOPULMONÁLNÍ RESUSCITACE ROZŠÍŘENÁ </t>
  </si>
  <si>
    <t>71765</t>
  </si>
  <si>
    <t>ADENOTOMIE</t>
  </si>
  <si>
    <t>76345</t>
  </si>
  <si>
    <t>REIMPLANTACE URETERU (UCNA)</t>
  </si>
  <si>
    <t>65936</t>
  </si>
  <si>
    <t xml:space="preserve">REPOZICE ZLOMENINY ZYGOMATIKOMAXILÁRNÍHO KOMPLEXU </t>
  </si>
  <si>
    <t>75371</t>
  </si>
  <si>
    <t>ENUKLEACE A EVISCERACE BULBU</t>
  </si>
  <si>
    <t>90905</t>
  </si>
  <si>
    <t>61169</t>
  </si>
  <si>
    <t>TRANSPOZICE MUSKULÁRNÍHO LALOKU</t>
  </si>
  <si>
    <t>65611</t>
  </si>
  <si>
    <t>EXCIZE LÉZE V DUTINĚ ÚSTNÍ NAD 4 CM</t>
  </si>
  <si>
    <t>76335</t>
  </si>
  <si>
    <t>OPERAČNÍ REVIZE PERIRENÁLNÍCH NEBO PERIURETERÁLNÍC</t>
  </si>
  <si>
    <t>62230</t>
  </si>
  <si>
    <t>UVOLŇUJÍCÍ NÁŘEZY NA KONČETINĚ</t>
  </si>
  <si>
    <t>66855</t>
  </si>
  <si>
    <t>INCIZE A DRENÁŽ MĚKKÝCH TKÁNÍ V ORTOPEDII</t>
  </si>
  <si>
    <t>66869</t>
  </si>
  <si>
    <t xml:space="preserve">EXCIZE A EXSTIRPACE SVALOVÉ - ROZSÁHLÉ - TAKÉ PRO </t>
  </si>
  <si>
    <t>90962</t>
  </si>
  <si>
    <t>(DRG) ORTOPEDICKÁ OPERACE PRO MALIGNÍ NOVOTVAR</t>
  </si>
  <si>
    <t>71737</t>
  </si>
  <si>
    <t>LARYNGEKTOMIE ČÁSTEČNÁ - SUPRAGLOTICKÁ HORIZONTÁLN</t>
  </si>
  <si>
    <t>6F1</t>
  </si>
  <si>
    <t>61115</t>
  </si>
  <si>
    <t>62410</t>
  </si>
  <si>
    <t>ŠTĚP PŘI POPÁLENÍ - DLAŇ, DORSUM RUKY, NOHY NEBO D</t>
  </si>
  <si>
    <t>61151</t>
  </si>
  <si>
    <t>UZAVŘENÍ DEFEKTU KOŽNÍM LALOKEM MÍSTNÍM NAD 20 CM^</t>
  </si>
  <si>
    <t>61165</t>
  </si>
  <si>
    <t>ROZPROSTŘENÍ NEBO MODELACE LALOKU</t>
  </si>
  <si>
    <t>90959</t>
  </si>
  <si>
    <t>(DRG) ÚPRAVA ŽILNÍHO NEBO TEPENNÉHO ALOŠTĚPU</t>
  </si>
  <si>
    <t>6F3</t>
  </si>
  <si>
    <t>6F5</t>
  </si>
  <si>
    <t>04400</t>
  </si>
  <si>
    <t>SVODNÁ ANESTEZIE</t>
  </si>
  <si>
    <t>04410</t>
  </si>
  <si>
    <t>INJEKČNÍ  ANESTESIE</t>
  </si>
  <si>
    <t>04801</t>
  </si>
  <si>
    <t>ZEVNÍ INCISE</t>
  </si>
  <si>
    <t>04860</t>
  </si>
  <si>
    <t>IMOBILIZACE ČELISTÍ</t>
  </si>
  <si>
    <t>65219</t>
  </si>
  <si>
    <t>KOMPLEXNÍ OŠETŘENÍ VĚTŠÍCH OBLIČEJOVÝCH DEFEKTŮ</t>
  </si>
  <si>
    <t>65949</t>
  </si>
  <si>
    <t>OŠETŘENÍ KOLEMČELISTNÍHO ZÁNĚTU A DRENÁŽ</t>
  </si>
  <si>
    <t>65935</t>
  </si>
  <si>
    <t xml:space="preserve">REPOZICE A FIXACE ZLOMENINY ZYGOMATIKOMAXILÁRNÍHO </t>
  </si>
  <si>
    <t>75381</t>
  </si>
  <si>
    <t>REKOSTRUKCE SPODINY OČNICE</t>
  </si>
  <si>
    <t>6F6</t>
  </si>
  <si>
    <t>708</t>
  </si>
  <si>
    <t>7F1</t>
  </si>
  <si>
    <t>71313</t>
  </si>
  <si>
    <t>NEPŘÍMÁ LARYNGOSKOPIE ZVĚTŠOVACÍ ENDOSKOPICKOU OPT</t>
  </si>
  <si>
    <t>71537</t>
  </si>
  <si>
    <t>MASTOIDEKTOMIE</t>
  </si>
  <si>
    <t>71741</t>
  </si>
  <si>
    <t>LARYNGOPLASTIKA, TRACHEOPLASTIKA</t>
  </si>
  <si>
    <t>71763</t>
  </si>
  <si>
    <t>TONZILEKTOMIE</t>
  </si>
  <si>
    <t>71823</t>
  </si>
  <si>
    <t>POUŽITÍ MIKROSKOPU PŘI OPERAČNÍM VÝKONU Á 10 MINUT</t>
  </si>
  <si>
    <t>71315</t>
  </si>
  <si>
    <t>LARYNGOSKOPIE NEBO EPIFARYNGOSKOPIE FLEXIBILNÍ OPT</t>
  </si>
  <si>
    <t>71319</t>
  </si>
  <si>
    <t>ESOFAGOSKOPIE RIGIDNÍ</t>
  </si>
  <si>
    <t>71729</t>
  </si>
  <si>
    <t>ODSTRANĚNÍ POLYPU NEBO JINÉHO NOVOTVARU Z HRTANU N</t>
  </si>
  <si>
    <t>71665</t>
  </si>
  <si>
    <t>FENESTRACE ČELNÍ DUTINY</t>
  </si>
  <si>
    <t>71629</t>
  </si>
  <si>
    <t>ODSTRANĚNÍ ZADNÍ NOSNÍ TAMPONÁDY</t>
  </si>
  <si>
    <t>7F5</t>
  </si>
  <si>
    <t>75411</t>
  </si>
  <si>
    <t>PLASTICKÁ OPERACE SPOJIVKY, EVENTUELNĚ ŠTĚPEM (KOR</t>
  </si>
  <si>
    <t>7F6</t>
  </si>
  <si>
    <t>76427</t>
  </si>
  <si>
    <t>CIRKUMCIZE, DĚTI OD 3 LET A DOSPĚLÍ</t>
  </si>
  <si>
    <t>76477</t>
  </si>
  <si>
    <t>NEFREKTOMIE LUMBÁLNÍ JEDNOSTRANNÁ</t>
  </si>
  <si>
    <t>76121</t>
  </si>
  <si>
    <t>NEFROSTOMOGRAM (JEN KLINICKÝ VÝKON)</t>
  </si>
  <si>
    <t>76215</t>
  </si>
  <si>
    <t>KATETRIZACE URETERU, NEBO EXTRAKCE KONKREMENTU Z M</t>
  </si>
  <si>
    <t>7T8</t>
  </si>
  <si>
    <t>78880</t>
  </si>
  <si>
    <t xml:space="preserve">PÉČE O DÁRCE ORGÁNU, SPOLUPRÁCE S TRANSPLANTAČNÍM </t>
  </si>
  <si>
    <t>Zdravotní výkony vykázané na pracovišti pro pacienty hospitalizované ve FNOL - orientační přehled</t>
  </si>
  <si>
    <t>00043</t>
  </si>
  <si>
    <t>A</t>
  </si>
  <si>
    <t xml:space="preserve">DLOUHODOBÁ MECHANICKÁ VENTILACE &gt; 240 HODIN (11-21 DNÍ) S MCC                                       </t>
  </si>
  <si>
    <t>00052</t>
  </si>
  <si>
    <t xml:space="preserve">DLOUHODOBÁ MECHANICKÁ VENTILACE &gt; 96 HODIN (5-10 DNÍ) S CC                                          </t>
  </si>
  <si>
    <t>00053</t>
  </si>
  <si>
    <t xml:space="preserve">DLOUHODOBÁ MECHANICKÁ VENTILACE &gt; 96 HODIN (5-10 DNÍ) S MCC                                         </t>
  </si>
  <si>
    <t>00100</t>
  </si>
  <si>
    <t xml:space="preserve">DLOUHODOBÁ MECHANICKÁ VENTILACE &gt; 504 HODIN (22-42 DNÍ) S EKO                                       </t>
  </si>
  <si>
    <t>00121</t>
  </si>
  <si>
    <t xml:space="preserve">DLOUHODOBÁ MECHANICKÁ VENTILACE &gt; 240 HODIN (11-21 DNÍ) S EKO                                       </t>
  </si>
  <si>
    <t>00122</t>
  </si>
  <si>
    <t>00123</t>
  </si>
  <si>
    <t>00131</t>
  </si>
  <si>
    <t xml:space="preserve">DLOUHODOBÁ MECHANICKÁ VENTILACE &gt; 96 HODIN (5-10 DNÍ) S EKONO                                       </t>
  </si>
  <si>
    <t>00132</t>
  </si>
  <si>
    <t>00133</t>
  </si>
  <si>
    <t>01013</t>
  </si>
  <si>
    <t xml:space="preserve">KRANIOTOMIE S MCC                                                                                   </t>
  </si>
  <si>
    <t>01070</t>
  </si>
  <si>
    <t xml:space="preserve">ENDOVASKULÁRNÍ VÝKONY PŘI MOZKOVÉM INFARKTU                                                         </t>
  </si>
  <si>
    <t>01333</t>
  </si>
  <si>
    <t xml:space="preserve">NETRAUMATICKÉ INTRAKRANIÁLNÍ KRVÁCENÍ S MCC                                                         </t>
  </si>
  <si>
    <t>01413</t>
  </si>
  <si>
    <t xml:space="preserve">NETRAUMATICKÁ PORUCHA VĚDOMÍ A KÓMA S MCC                                                           </t>
  </si>
  <si>
    <t>01442</t>
  </si>
  <si>
    <t xml:space="preserve">KRANIÁLNÍ A INTRAKRANIÁLNÍ PORANĚNÍ S CC                                                            </t>
  </si>
  <si>
    <t>01443</t>
  </si>
  <si>
    <t xml:space="preserve">KRANIÁLNÍ A INTRAKRANIÁLNÍ PORANĚNÍ S MCC                                                           </t>
  </si>
  <si>
    <t>03093</t>
  </si>
  <si>
    <t xml:space="preserve">JINÉ VÝKONY PŘI PORUCHÁCH A ONEMOCNĚNÍCH UŠÍ, NOSU, ÚST A HRD                                       </t>
  </si>
  <si>
    <t>04033</t>
  </si>
  <si>
    <t xml:space="preserve">JINÉ VÝKONY PŘI PORUCHÁCH A ONEMOCNĚNÍCH DÝCHACÍHO SYSTÉMU S                                        </t>
  </si>
  <si>
    <t>04310</t>
  </si>
  <si>
    <t xml:space="preserve">RESPIRAČNÍ SELHÁNÍ                                                                                  </t>
  </si>
  <si>
    <t>04331</t>
  </si>
  <si>
    <t xml:space="preserve">ZÁVAŽNÉ TRAUMA HRUDNÍKU BEZ CC                                                                      </t>
  </si>
  <si>
    <t>04401</t>
  </si>
  <si>
    <t xml:space="preserve">PNEUMOTORAX A PLEURÁNÍ VÝPOTEK BEZ CC                                                               </t>
  </si>
  <si>
    <t>04412</t>
  </si>
  <si>
    <t xml:space="preserve">PŘÍZNAKY, SYMPTOMY A JINÉ DIAGNÓZY DÝCHACÍHO SYSTÉMU S CC                                           </t>
  </si>
  <si>
    <t>05091</t>
  </si>
  <si>
    <t xml:space="preserve">VELKÉ ABDOMINÁLNÍ VASKULÁRNÍ VÝKONY BEZ CC                                                          </t>
  </si>
  <si>
    <t>05092</t>
  </si>
  <si>
    <t xml:space="preserve">VELKÉ ABDOMINÁLNÍ VASKULÁRNÍ VÝKONY S CC                                                            </t>
  </si>
  <si>
    <t>05093</t>
  </si>
  <si>
    <t xml:space="preserve">VELKÉ ABDOMINÁLNÍ VASKULÁRNÍ VÝKONY S MCC                                                           </t>
  </si>
  <si>
    <t>05141</t>
  </si>
  <si>
    <t xml:space="preserve">JINÉ VASKULÁRNÍ VÝKONY BEZ CC                                                                       </t>
  </si>
  <si>
    <t>05142</t>
  </si>
  <si>
    <t xml:space="preserve">JINÉ VASKULÁRNÍ VÝKONY S CC                                                                         </t>
  </si>
  <si>
    <t>05143</t>
  </si>
  <si>
    <t xml:space="preserve">JINÉ VASKULÁRNÍ VÝKONY S MCC                                                                        </t>
  </si>
  <si>
    <t>05233</t>
  </si>
  <si>
    <t xml:space="preserve">PERKUTÁNNÍ KORONÁRNÍ ANGIOPLASTIKA, &lt;=2 POTAHOVANÉ STENTY PŘI                                       </t>
  </si>
  <si>
    <t>05481</t>
  </si>
  <si>
    <t xml:space="preserve">ENDOVASKULÁRNÍ VÝKONY PRO AKUTNÍ ISCHÉMII V OBLASTI PERIFERNÍ                                       </t>
  </si>
  <si>
    <t>05482</t>
  </si>
  <si>
    <t>05501</t>
  </si>
  <si>
    <t xml:space="preserve">ANGIOPLASTIKA NEBO ZAVEDENÍ STENTU DO PERIFERNÍ CÉVY BEZ CC                                         </t>
  </si>
  <si>
    <t>05502</t>
  </si>
  <si>
    <t xml:space="preserve">ANGIOPLASTIKA NEBO ZAVEDENÍ STENTU DO PERIFERNÍ CÉVY S CC                                           </t>
  </si>
  <si>
    <t>05503</t>
  </si>
  <si>
    <t xml:space="preserve">ANGIOPLASTIKA NEBO ZAVEDENÍ STENTU DO PERIFERNÍ CÉVY S MCC                                          </t>
  </si>
  <si>
    <t>06012</t>
  </si>
  <si>
    <t xml:space="preserve">VELKÉ VÝKONY NA TLUSTÉM A TENKÉM STŘEVU S CC                                                        </t>
  </si>
  <si>
    <t>06013</t>
  </si>
  <si>
    <t xml:space="preserve">VELKÉ VÝKONY NA TLUSTÉM A TENKÉM STŘEVU S MCC                                                       </t>
  </si>
  <si>
    <t>06022</t>
  </si>
  <si>
    <t xml:space="preserve">VELKÉ VÝKONY NA ŽALUDKU, JÍCNU A DVANÁCTNÍKU S CC                                                   </t>
  </si>
  <si>
    <t>06023</t>
  </si>
  <si>
    <t xml:space="preserve">VELKÉ VÝKONY NA ŽALUDKU, JÍCNU A DVANÁCTNÍKU S MCC                                                  </t>
  </si>
  <si>
    <t>06032</t>
  </si>
  <si>
    <t xml:space="preserve">MENŠÍ VÝKONY NA TLUSTÉM A TENKÉM STŘEVU S CC                                                        </t>
  </si>
  <si>
    <t>06033</t>
  </si>
  <si>
    <t xml:space="preserve">MENŠÍ VÝKONY NA TLUSTÉM A TENKÉM STŘEVU S MCC                                                       </t>
  </si>
  <si>
    <t>06101</t>
  </si>
  <si>
    <t xml:space="preserve">JINÉ VÝKONY PŘI PORUCHÁCH A ONEMOCNĚNÍCH TRÁVICÍHO SYSTÉMU BE                                       </t>
  </si>
  <si>
    <t>06103</t>
  </si>
  <si>
    <t xml:space="preserve">JINÉ VÝKONY PŘI PORUCHÁCH A ONEMOCNĚNÍCH TRÁVICÍHO SYSTÉMU S                                        </t>
  </si>
  <si>
    <t>06302</t>
  </si>
  <si>
    <t xml:space="preserve">MALIGNÍ ONEMOCNĚNÍ TRÁVICÍHO SYSTÉMU S CC                                                           </t>
  </si>
  <si>
    <t>06303</t>
  </si>
  <si>
    <t xml:space="preserve">MALIGNÍ ONEMOCNĚNÍ TRÁVICÍHO SYSTÉMU S MCC                                                          </t>
  </si>
  <si>
    <t>06322</t>
  </si>
  <si>
    <t xml:space="preserve">PORUCHY JÍCNU S CC                                                                                  </t>
  </si>
  <si>
    <t>06342</t>
  </si>
  <si>
    <t xml:space="preserve">VASKULÁRNÍ INSUFICIENCE GASTROINTESTINÁLNÍHO SYSTÉMU S CC                                           </t>
  </si>
  <si>
    <t>06382</t>
  </si>
  <si>
    <t xml:space="preserve">JINÉ PORUCHY TRÁVICÍHO SYSTÉMU S CC                                                                 </t>
  </si>
  <si>
    <t>06383</t>
  </si>
  <si>
    <t xml:space="preserve">JINÉ PORUCHY TRÁVICÍHO SYSTÉMU S MCC                                                                </t>
  </si>
  <si>
    <t>07052</t>
  </si>
  <si>
    <t xml:space="preserve">JINÉ VÝKONY PŘI PORUCHÁCH A ONEMOCNĚNÍCH HEPATOBILIÁRNÍHO SYS                                       </t>
  </si>
  <si>
    <t>07341</t>
  </si>
  <si>
    <t xml:space="preserve">JINÉ PORUCHY ŽLUČOVÝCH CEST BEZ CC                                                                  </t>
  </si>
  <si>
    <t>08031</t>
  </si>
  <si>
    <t xml:space="preserve">FÚZE PÁTEŘE, NE PRO DEFORMITY BEZ CC                                                                </t>
  </si>
  <si>
    <t>08033</t>
  </si>
  <si>
    <t xml:space="preserve">FÚZE PÁTEŘE, NE PRO DEFORMITY S MCC                                                                 </t>
  </si>
  <si>
    <t>08042</t>
  </si>
  <si>
    <t xml:space="preserve">TOTÁLNÍ ENDOPROTÉZU KYČLE, LOKTE, ZÁPĚSTÍ, TOTÁLNÍ A REVERZNÍ                                       </t>
  </si>
  <si>
    <t>08081</t>
  </si>
  <si>
    <t xml:space="preserve">VÝKONY NA KYČLÍCH A STEHENNÍ KOSTI, KROMĚ REPLANTACE VELKÝCH                                        </t>
  </si>
  <si>
    <t>08082</t>
  </si>
  <si>
    <t>08083</t>
  </si>
  <si>
    <t>08171</t>
  </si>
  <si>
    <t xml:space="preserve">JINÉ VÝKONY PŘI PORUCHÁCH A ONEMOCNĚNÍCH MUSKULOSKELETÁLNÍHO                                        </t>
  </si>
  <si>
    <t>08172</t>
  </si>
  <si>
    <t>08303</t>
  </si>
  <si>
    <t xml:space="preserve">ZLOMENINY KOSTI STEHENNÍ S MCC                                                                      </t>
  </si>
  <si>
    <t>08321</t>
  </si>
  <si>
    <t xml:space="preserve">ZLOMENINA NEBO DISLOKACE, KROMĚ STEHENNÍ KOSTI A PÁNVE BEZ CC                                       </t>
  </si>
  <si>
    <t>08353</t>
  </si>
  <si>
    <t xml:space="preserve">SEPTICKÁ ARTRITIDA S MCC                                                                            </t>
  </si>
  <si>
    <t>08391</t>
  </si>
  <si>
    <t xml:space="preserve">SELHÁNÍ, REAKCE A KOMPLIKACE ORTOPEDICKÉHO PŘÍSTROJE NEBO VÝK                                       </t>
  </si>
  <si>
    <t>08411</t>
  </si>
  <si>
    <t xml:space="preserve">JINÉ PORUCHY MUSKULOSKELETÁLNÍHO SYSTÉMU A POJIVOVÉ TKÁNĚ BEZ                                       </t>
  </si>
  <si>
    <t>10051</t>
  </si>
  <si>
    <t xml:space="preserve">VÝKONY NA ŠTÍTNÉ A PŘÍŠTITNÉ ŽLÁZE, THYROGLOSSÁLNÍ VÝKONY BEZ                                       </t>
  </si>
  <si>
    <t>11032</t>
  </si>
  <si>
    <t xml:space="preserve">VELKÉ VÝKONY NA LEDVINÁCH A MOČOVÝCH CESTÁCH S CC                                                   </t>
  </si>
  <si>
    <t>11043</t>
  </si>
  <si>
    <t xml:space="preserve">DIALÝZA A ELIMINAČNÍ METODY S MCC                                                                   </t>
  </si>
  <si>
    <t>11052</t>
  </si>
  <si>
    <t xml:space="preserve">MENŠÍ VÝKONY NA LEDVINÁCH, MOČOVÝCH CESTÁCH A MOČOVÉM MĚCHÝŘI                                       </t>
  </si>
  <si>
    <t>11323</t>
  </si>
  <si>
    <t xml:space="preserve">INFEKCE LEDVIN A MOČOVÝCH CEST S MCC                                                                </t>
  </si>
  <si>
    <t>11371</t>
  </si>
  <si>
    <t xml:space="preserve">JINÉ PORUCHY LEDVIN A MOČOVÝCH CEST BEZ CC                                                          </t>
  </si>
  <si>
    <t>12302</t>
  </si>
  <si>
    <t xml:space="preserve">MALIGNÍ ONEMOCNĚNÍ MUŽSKÉHO REPRODUKČNÍHO SYSTÉMU S CC                                              </t>
  </si>
  <si>
    <t>12303</t>
  </si>
  <si>
    <t xml:space="preserve">MALIGNÍ ONEMOCNĚNÍ MUŽSKÉHO REPRODUKČNÍHO SYSTÉMU S MCC                                             </t>
  </si>
  <si>
    <t>13303</t>
  </si>
  <si>
    <t xml:space="preserve">MALIGNÍ ONEMOCNĚNÍ ŽENSKÉHO REPRODUKČNÍHO SYSTÉMU S MCC                                             </t>
  </si>
  <si>
    <t>13321</t>
  </si>
  <si>
    <t xml:space="preserve">MENSTRUAČNÍ A JINÉ PORUCHY ŽENSKÉHO REPRODUKČNÍHO SYSTÉMU BEZ                                       </t>
  </si>
  <si>
    <t>18012</t>
  </si>
  <si>
    <t xml:space="preserve">VÝKONY PRO INFEKČNÍ A PARAZITÁRNÍ NEMOCI S CC                                                       </t>
  </si>
  <si>
    <t>18013</t>
  </si>
  <si>
    <t xml:space="preserve">VÝKONY PRO INFEKČNÍ A PARAZITÁRNÍ NEMOCI S MCC                                                      </t>
  </si>
  <si>
    <t>18301</t>
  </si>
  <si>
    <t xml:space="preserve">SEPTIKÉMIE BEZ CC                                                                                   </t>
  </si>
  <si>
    <t>18302</t>
  </si>
  <si>
    <t xml:space="preserve">SEPTIKÉMIE S CC                                                                                     </t>
  </si>
  <si>
    <t>18303</t>
  </si>
  <si>
    <t xml:space="preserve">SEPTIKÉMIE S MCC                                                                                    </t>
  </si>
  <si>
    <t>21022</t>
  </si>
  <si>
    <t xml:space="preserve">JINÉ VÝKONY PŘI ÚRAZECH A KOMPLIKACÍCH S CC                                                         </t>
  </si>
  <si>
    <t>21023</t>
  </si>
  <si>
    <t xml:space="preserve">JINÉ VÝKONY PŘI ÚRAZECH A KOMPLIKACÍCH S MCC                                                        </t>
  </si>
  <si>
    <t>21301</t>
  </si>
  <si>
    <t xml:space="preserve">PORANĚNÍ NA NESPECIFIKOVANÉM MÍSTĚ NEBO NA VÍCE MÍSTECH BEZ C                                       </t>
  </si>
  <si>
    <t>21303</t>
  </si>
  <si>
    <t xml:space="preserve">PORANĚNÍ NA NESPECIFIKOVANÉM MÍSTĚ NEBO NA VÍCE MÍSTECH S MCC                                       </t>
  </si>
  <si>
    <t>25023</t>
  </si>
  <si>
    <t xml:space="preserve">JINÉ VÝKONY PŘI MNOHOČETNÉM ZÁVAŽNÉM TRAUMATU S MCC                                                 </t>
  </si>
  <si>
    <t>25040</t>
  </si>
  <si>
    <t xml:space="preserve">DLOUHODOBÁ MECHANICKÁ VENTILACE PŘI POLYTRAUMATU &gt; 504 HODIN                                        </t>
  </si>
  <si>
    <t>25052</t>
  </si>
  <si>
    <t xml:space="preserve">DLOUHODOBÁ MECHANICKÁ VENTILACE PŘI POLYTRAUMATU &gt; 240 HODIN                                        </t>
  </si>
  <si>
    <t>25073</t>
  </si>
  <si>
    <t xml:space="preserve">DLOUHODOBÁ MECHANICKÁ VENTILACE PŘI POLYTRAUMATU &gt; 96 HODIN (                                       </t>
  </si>
  <si>
    <t>25361</t>
  </si>
  <si>
    <t>25370</t>
  </si>
  <si>
    <t xml:space="preserve">ÚMRTÍ DO 5 DNÍ OD PŘÍJMU PŘI POLYTRAUMATU                                                           </t>
  </si>
  <si>
    <t>88872</t>
  </si>
  <si>
    <t xml:space="preserve">ROZSÁHLÉ VÝKONY, KTERÉ SE NETÝKAJÍ HLAVNÍ DIAGNÓZY S CC                                             </t>
  </si>
  <si>
    <t>88873</t>
  </si>
  <si>
    <t xml:space="preserve">ROZSÁHLÉ VÝKONY, KTERÉ SE NETÝKAJÍ HLAVNÍ DIAGNÓZY S MCC                                            </t>
  </si>
  <si>
    <t>Porovnání jednotlivých IR DRG skupin</t>
  </si>
  <si>
    <t>12 - UROL: Urologická klinika</t>
  </si>
  <si>
    <t>17 - NEUR: Neurologická klinika</t>
  </si>
  <si>
    <t>22 - KNM: Klinika nukleární medicíny</t>
  </si>
  <si>
    <t>32 - HOK: Hemato-onkologická klinika</t>
  </si>
  <si>
    <t>33 - OKB: Oddělení klinické biochemie</t>
  </si>
  <si>
    <t>34 - RTG: Radiologická klinika</t>
  </si>
  <si>
    <t>35 - TO: Transfuzní oddělení</t>
  </si>
  <si>
    <t>37 - PATOL: Ústav patologie</t>
  </si>
  <si>
    <t>40 - MIKRO: Ústav mikrobiologie</t>
  </si>
  <si>
    <t>41 - IMUNO: Ústav imunologie</t>
  </si>
  <si>
    <t>44 - LEM: LEM</t>
  </si>
  <si>
    <t>12</t>
  </si>
  <si>
    <t>809</t>
  </si>
  <si>
    <t>89173</t>
  </si>
  <si>
    <t>ANTEGRÁDNÍ PYELOGRAFIE JEDNOSTRANNÁ</t>
  </si>
  <si>
    <t>89169</t>
  </si>
  <si>
    <t>CYSTOURETROGRAFIE</t>
  </si>
  <si>
    <t>89165</t>
  </si>
  <si>
    <t>RETROGRÁDNÍ PYELOGRAFIE JEDNOSTRANNÁ</t>
  </si>
  <si>
    <t>17</t>
  </si>
  <si>
    <t>209</t>
  </si>
  <si>
    <t>87513</t>
  </si>
  <si>
    <t>STANOVENÍ CYTOLOGICKÉ DIAGNÓZY I. STUPNĚ OBTÍŽNOST</t>
  </si>
  <si>
    <t>22</t>
  </si>
  <si>
    <t>407</t>
  </si>
  <si>
    <t>0002087</t>
  </si>
  <si>
    <t>18F-FDG</t>
  </si>
  <si>
    <t>0002095</t>
  </si>
  <si>
    <t>99mTc-nanokoloid alb.inj.</t>
  </si>
  <si>
    <t>0002022</t>
  </si>
  <si>
    <t>99mTc Etifenin inj.</t>
  </si>
  <si>
    <t>47263</t>
  </si>
  <si>
    <t>RADIONUKLIDOVÁ LYMFOGRAFIE</t>
  </si>
  <si>
    <t>47265</t>
  </si>
  <si>
    <t>SCINTIGRAFICKÁ DIAGNOSTIKA ZÁNĚTŮ</t>
  </si>
  <si>
    <t>47269</t>
  </si>
  <si>
    <t>TOMOGRAFICKÁ SCINTIGRAFIE - SPECT</t>
  </si>
  <si>
    <t>47273</t>
  </si>
  <si>
    <t>KVANTIFIKACE DYNAMICKÝCH A TOMOGRAFICKÝCH SCINTIGR</t>
  </si>
  <si>
    <t>47275</t>
  </si>
  <si>
    <t>SCINTIGRAFIE SENTINELOVÉ UZLINY</t>
  </si>
  <si>
    <t>47355</t>
  </si>
  <si>
    <t>HYBRIDNÍ VÝPOČETNÍ A POZITRONOVÁ EMISNÍ TOMOGRAFIE</t>
  </si>
  <si>
    <t>47187</t>
  </si>
  <si>
    <t>SCINTIGRAFIE JATER A ŽLUČOVÝCH CEST DYNAMICKÁ</t>
  </si>
  <si>
    <t>32</t>
  </si>
  <si>
    <t>816</t>
  </si>
  <si>
    <t>94181</t>
  </si>
  <si>
    <t>ZHOTOVENÍ KARYOTYPU Z JEDNÉ MITÓZY</t>
  </si>
  <si>
    <t>94115</t>
  </si>
  <si>
    <t>IN SITU HYBRIDIZACE LIDSKÉ DNA SE ZNAČENOU SONDOU</t>
  </si>
  <si>
    <t>94145</t>
  </si>
  <si>
    <t>RUTINNÍ VYŠETŘENÍ KOSTNÍ DŘENĚ PŘÍMÉ A S KULTIVACÍ</t>
  </si>
  <si>
    <t>94225</t>
  </si>
  <si>
    <t>IZOLACE A BANKING LIDSKÝCH NUKLEOVÝCH KYSELIN (DNA</t>
  </si>
  <si>
    <t>94353</t>
  </si>
  <si>
    <t>STANOVENÍ ZNÁMÉ GENOVÉ VARIANTY LIDSKÉHO SOMATICKÉ</t>
  </si>
  <si>
    <t>94233</t>
  </si>
  <si>
    <t>ANALÝZA VARIANT LIDSKÉHO SOMATICKÉHO GENOMU NA BIO</t>
  </si>
  <si>
    <t>818</t>
  </si>
  <si>
    <t>91427</t>
  </si>
  <si>
    <t>IZOLACE MONONUKLEÁRŮ Z PERIFERNÍ KRVE GRADIENTOVOU</t>
  </si>
  <si>
    <t>91431</t>
  </si>
  <si>
    <t>ZVLÁŠTĚ NÁROČNÉ IZOLACE BUNĚK GRADIENTOVOU CENTRIF</t>
  </si>
  <si>
    <t>96157</t>
  </si>
  <si>
    <t>STANOVENÍ HEPARINOVÝCH JEDNOTEK ANTI XA</t>
  </si>
  <si>
    <t>96167</t>
  </si>
  <si>
    <t>KREVNÍ OBRAZ S PĚTI POPULAČNÍM DIFERENCIÁLNÍM POČT</t>
  </si>
  <si>
    <t>96187</t>
  </si>
  <si>
    <t>FAKTOR V - STANOVENÍ AKTIVITY</t>
  </si>
  <si>
    <t>96191</t>
  </si>
  <si>
    <t>FAKTOR VIII - STANOVENÍ AKTIVITY</t>
  </si>
  <si>
    <t>96197</t>
  </si>
  <si>
    <t>FAKTOR XI - STANOVENÍ AKTIVITY</t>
  </si>
  <si>
    <t>96247</t>
  </si>
  <si>
    <t>AGREGACE TROMBOCYTŮ INDUKOVANÁ BĚŽNÝMI INDUKTORY -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</si>
  <si>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</si>
  <si>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</si>
  <si>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</si>
  <si>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</si>
  <si>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</si>
  <si>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</si>
  <si>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</si>
  <si>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</si>
  <si>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96857</t>
  </si>
  <si>
    <t>STANOVENÍ POČTU RETIKULOCYTŮ NA AUTOMATICKÉM ANALY</t>
  </si>
  <si>
    <t>96881</t>
  </si>
  <si>
    <t>AGREGAČNÍ TEST NA HEPARINEM INDUKOVANOU TROMBOCYTO</t>
  </si>
  <si>
    <t>91439</t>
  </si>
  <si>
    <t>IMUNOFENOTYPIZACE BUNĚČNÝCH SUBPOPULACÍ DLE POVRCH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</si>
  <si>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</si>
  <si>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</si>
  <si>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</si>
  <si>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</si>
  <si>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</si>
  <si>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</si>
  <si>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</si>
  <si>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</si>
  <si>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96613</t>
  </si>
  <si>
    <t>VYŠETŘENÍ NÁTĚRU NA SCHIZOCYTY</t>
  </si>
  <si>
    <t>96193</t>
  </si>
  <si>
    <t>FAKTOR IX - STANOVENÍ AKTIVITY</t>
  </si>
  <si>
    <t>96863</t>
  </si>
  <si>
    <t>STANOVENÍ POČTU ERYTROBLASTŮ NA AUTOMATICKÉM ANALY</t>
  </si>
  <si>
    <t>96185</t>
  </si>
  <si>
    <t>FAKTOR II. - STANOVENÍ AKTIVITY</t>
  </si>
  <si>
    <t>96239</t>
  </si>
  <si>
    <t>DESTIČKOVÝ NEUTRALIZAČNÍ TEST (PNP)</t>
  </si>
  <si>
    <t>96839</t>
  </si>
  <si>
    <t>FAKTOR XII - STANOVENÍ AKTIVITY</t>
  </si>
  <si>
    <t>96879</t>
  </si>
  <si>
    <t>DRVVT - SCREENING LA</t>
  </si>
  <si>
    <t>96249</t>
  </si>
  <si>
    <t>AGREGACE TROMBOCYTŮ INDUKOVANÁ OSTATNÍMI INDUKTORY</t>
  </si>
  <si>
    <t>96155</t>
  </si>
  <si>
    <t>VON WILLEBRANDŮV  FAKTOR KVANTITATIVNĚ</t>
  </si>
  <si>
    <t>96189</t>
  </si>
  <si>
    <t>FAKTOR VII - STANOVENÍ AKTIVITY</t>
  </si>
  <si>
    <t>96629</t>
  </si>
  <si>
    <t xml:space="preserve">VON WILLEBRANDOVŮV FAKTOR - RISTOCETIN KOFAKTOR - </t>
  </si>
  <si>
    <t>96889</t>
  </si>
  <si>
    <t>TROMBIN GENERAČNÍ ČAS</t>
  </si>
  <si>
    <t>96875</t>
  </si>
  <si>
    <t>DRVVT - KONFIRMACE</t>
  </si>
  <si>
    <t>96195</t>
  </si>
  <si>
    <t>FAKTOR X - STANOVENÍ AKTIVITY</t>
  </si>
  <si>
    <t>96891</t>
  </si>
  <si>
    <t>TROMBELASTOGRAM</t>
  </si>
  <si>
    <t>96877</t>
  </si>
  <si>
    <t>DRVVT - KOREKCE</t>
  </si>
  <si>
    <t>96895</t>
  </si>
  <si>
    <t>STANOVENÍ PŘÍMÝCH INHIBITORŮ FAKTORU XA</t>
  </si>
  <si>
    <t>96896</t>
  </si>
  <si>
    <t>STANOVENÍ PŘÍMÝCH INHIBITORŮ TROMBINU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</si>
  <si>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</si>
  <si>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</si>
  <si>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</si>
  <si>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</si>
  <si>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</si>
  <si>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</si>
  <si>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</si>
  <si>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</si>
  <si>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</si>
  <si>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</si>
  <si>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</si>
  <si>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</si>
  <si>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</si>
  <si>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</si>
  <si>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</si>
  <si>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</si>
  <si>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</si>
  <si>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</si>
  <si>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81171</t>
  </si>
  <si>
    <t>KYSELINA MLÉČNÁ (LAKTÁT) STATIM</t>
  </si>
  <si>
    <t>81227</t>
  </si>
  <si>
    <t>PROSTATICKÝ SPECIFICKÝ ANTIGEN (PSA) - VOLNÝ</t>
  </si>
  <si>
    <t>81231</t>
  </si>
  <si>
    <t>METHEMOGLOBIN - KVANTITATIVNÍ STANOVENÍ</t>
  </si>
  <si>
    <t>81237</t>
  </si>
  <si>
    <t>TROPONIN - T NEBO I ELISA</t>
  </si>
  <si>
    <t>81331</t>
  </si>
  <si>
    <t>ALBUMIN V MOZKOMÍŠNÍM MOKU</t>
  </si>
  <si>
    <t>81341</t>
  </si>
  <si>
    <t>AMONIAK</t>
  </si>
  <si>
    <t>81397</t>
  </si>
  <si>
    <t>ELEKTROFORÉZA PROTEINŮ (SÉRUM)</t>
  </si>
  <si>
    <t>81427</t>
  </si>
  <si>
    <t>FOSFOR ANORGANICKÝ</t>
  </si>
  <si>
    <t>81447</t>
  </si>
  <si>
    <t>GLYKOVANÉ PROTEINY</t>
  </si>
  <si>
    <t>81451</t>
  </si>
  <si>
    <t>HEMOGLOBIN VOLNÝ V PLAZMĚ</t>
  </si>
  <si>
    <t>81481</t>
  </si>
  <si>
    <t>AMYLÁZA PANKREATICKÁ</t>
  </si>
  <si>
    <t>81527</t>
  </si>
  <si>
    <t>CHOLESTEROL LDL</t>
  </si>
  <si>
    <t>81541</t>
  </si>
  <si>
    <t>LIPOPROTEIN - Lp (a)</t>
  </si>
  <si>
    <t>81641</t>
  </si>
  <si>
    <t>ŽELEZO CELKOVÉ</t>
  </si>
  <si>
    <t>81717</t>
  </si>
  <si>
    <t>STANOVENÍ KONCENTRACE PROTEINU S-100B (S-100BB, S-</t>
  </si>
  <si>
    <t>81731</t>
  </si>
  <si>
    <t>STANOVENÍ NATRIURETICKÝCH PEPTIDŮ V SÉRU A V PLAZM</t>
  </si>
  <si>
    <t>81747</t>
  </si>
  <si>
    <t xml:space="preserve">VYŠETŘENÍ TANDEMOVOU HMOTNOSTNÍ SPEKTROMETRIÍ PRO </t>
  </si>
  <si>
    <t>91137</t>
  </si>
  <si>
    <t>STANOVENÍ TRANSFERINU</t>
  </si>
  <si>
    <t>91171</t>
  </si>
  <si>
    <t>STANOVENÍ IgG ELISA</t>
  </si>
  <si>
    <t>91175</t>
  </si>
  <si>
    <t>STANOVENÍ IgM ELISA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</si>
  <si>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</si>
  <si>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</si>
  <si>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</si>
  <si>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</si>
  <si>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</si>
  <si>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</si>
  <si>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93137</t>
  </si>
  <si>
    <t>PROGESTERON</t>
  </si>
  <si>
    <t>93151</t>
  </si>
  <si>
    <t>FERRITIN</t>
  </si>
  <si>
    <t>93167</t>
  </si>
  <si>
    <t>NEURON - SPECIFICKÁ ENOLÁZA (NSE)</t>
  </si>
  <si>
    <t>93171</t>
  </si>
  <si>
    <t>PARATHORMON</t>
  </si>
  <si>
    <t>93177</t>
  </si>
  <si>
    <t>PROLAKTIN</t>
  </si>
  <si>
    <t>93187</t>
  </si>
  <si>
    <t>TYROXIN CELKOVÝ (TT4)</t>
  </si>
  <si>
    <t>93191</t>
  </si>
  <si>
    <t>TESTOSTERON</t>
  </si>
  <si>
    <t>93227</t>
  </si>
  <si>
    <t>ANTIGEN SQUAMÓZNÍCH NÁDOROVÝCH BUNĚK (SCC)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</si>
  <si>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</si>
  <si>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</si>
  <si>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</si>
  <si>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</si>
  <si>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</si>
  <si>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</si>
  <si>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</si>
  <si>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</si>
  <si>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</si>
  <si>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</si>
  <si>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</si>
  <si>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</si>
  <si>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</si>
  <si>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</si>
  <si>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</si>
  <si>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</si>
  <si>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</si>
  <si>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</si>
  <si>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</si>
  <si>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</si>
  <si>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</si>
  <si>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</si>
  <si>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</si>
  <si>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</si>
  <si>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93129</t>
  </si>
  <si>
    <t>FOLITROPIN (FSH)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</si>
  <si>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</si>
  <si>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</si>
  <si>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</si>
  <si>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</si>
  <si>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</si>
  <si>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</si>
  <si>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</si>
  <si>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</si>
  <si>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</si>
  <si>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</si>
  <si>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</si>
  <si>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</si>
  <si>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</si>
  <si>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</si>
  <si>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</si>
  <si>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</si>
  <si>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</si>
  <si>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</si>
  <si>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</si>
  <si>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</si>
  <si>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</si>
  <si>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</si>
  <si>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</si>
  <si>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</si>
  <si>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</si>
  <si>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</si>
  <si>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</si>
  <si>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</si>
  <si>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91129</t>
  </si>
  <si>
    <t>STANOVENÍ IgG</t>
  </si>
  <si>
    <t>81249</t>
  </si>
  <si>
    <t>CEA (MEIA)</t>
  </si>
  <si>
    <t>81703</t>
  </si>
  <si>
    <t>CYSTATIN C</t>
  </si>
  <si>
    <t>81139</t>
  </si>
  <si>
    <t>VÁPNÍK CELKOVÝ STATIM</t>
  </si>
  <si>
    <t>91143</t>
  </si>
  <si>
    <t>STANOVENÍ PREALBUMINU</t>
  </si>
  <si>
    <t>93149</t>
  </si>
  <si>
    <t>ESTRADIOL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</si>
  <si>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</si>
  <si>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</si>
  <si>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</si>
  <si>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</si>
  <si>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</si>
  <si>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</si>
  <si>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</si>
  <si>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</si>
  <si>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93159</t>
  </si>
  <si>
    <t>CHORIOGONADOTROPIN (HCG)</t>
  </si>
  <si>
    <t>93133</t>
  </si>
  <si>
    <t>LUTROPIN (LH)</t>
  </si>
  <si>
    <t>91133</t>
  </si>
  <si>
    <t>STANOVENÍ IgM</t>
  </si>
  <si>
    <t>81533</t>
  </si>
  <si>
    <t>LIPÁZA</t>
  </si>
  <si>
    <t>81339</t>
  </si>
  <si>
    <t>AMINOKYSELINY - STANOVENÍ CELKOVÉHO SPEKTRA V BIOL</t>
  </si>
  <si>
    <t>81629</t>
  </si>
  <si>
    <t>VAZEBNÁ KAPACITA ŽELEZA</t>
  </si>
  <si>
    <t>93263</t>
  </si>
  <si>
    <t>KARBOHYDRÁT-DEFICIENTNÍ TRANSFERIN (CDT)</t>
  </si>
  <si>
    <t>81369</t>
  </si>
  <si>
    <t>BÍLKOVINA KVANTITATIVNĚ (MOČ, MOZKOM. MOK, VÝPOTEK</t>
  </si>
  <si>
    <t>81125</t>
  </si>
  <si>
    <t>BÍLKOVINY CELKOVÉ (SÉRUM) STATIM</t>
  </si>
  <si>
    <t>81235</t>
  </si>
  <si>
    <t>TUMORMARKERY CA 19-9, CA 15-3, CA 72-4, CA 125</t>
  </si>
  <si>
    <t>94189</t>
  </si>
  <si>
    <t>HYBRIDIZACE DNA SE ZNAČENOU SONDOU</t>
  </si>
  <si>
    <t>93145</t>
  </si>
  <si>
    <t>C-PEPTID</t>
  </si>
  <si>
    <t>81355</t>
  </si>
  <si>
    <t>APOLIPOPROTEINY AI NEBO B</t>
  </si>
  <si>
    <t>91145</t>
  </si>
  <si>
    <t>STANOVENÍ HAPTOGLOBINU</t>
  </si>
  <si>
    <t>81675</t>
  </si>
  <si>
    <t>MIKROALBUMINURIE</t>
  </si>
  <si>
    <t>93183</t>
  </si>
  <si>
    <t>SEXUÁLNÍ HORMONY VÁZAJÍCÍ GLOBULIN (SHBG)</t>
  </si>
  <si>
    <t>81423</t>
  </si>
  <si>
    <t>FOSFATÁZA ALKALICKÁ IZOENZYMY</t>
  </si>
  <si>
    <t>81123</t>
  </si>
  <si>
    <t>BILIRUBIN KONJUGOVANÝ STATIM</t>
  </si>
  <si>
    <t>81475</t>
  </si>
  <si>
    <t>CHOLINESTERÁZA</t>
  </si>
  <si>
    <t>93185</t>
  </si>
  <si>
    <t>TRIJODTYRONIN CELKOVÝ (TT3)</t>
  </si>
  <si>
    <t>93265</t>
  </si>
  <si>
    <t>CYFRA 21-1 (NÁDOROVÝ ANTIGEN, CYTOKERATIN FRAGMENT</t>
  </si>
  <si>
    <t>93135</t>
  </si>
  <si>
    <t>MYOGLOBIN V SÉRII</t>
  </si>
  <si>
    <t>81165</t>
  </si>
  <si>
    <t>KREATINKINÁZA (CK) STATIM</t>
  </si>
  <si>
    <t>81233</t>
  </si>
  <si>
    <t>KARBONYLHEMOGLOBIN KVANTITATIVNĚ</t>
  </si>
  <si>
    <t>93223</t>
  </si>
  <si>
    <t>NÁDOROVÉ ANTIGENY CA - TYPU</t>
  </si>
  <si>
    <t>81129</t>
  </si>
  <si>
    <t>BÍLKOVINA KVANTITATIVNĚ (MOČ, VÝPOTEK, CSF) STATIM</t>
  </si>
  <si>
    <t>81159</t>
  </si>
  <si>
    <t>CHOLINESTERÁZA STATIM</t>
  </si>
  <si>
    <t>93139</t>
  </si>
  <si>
    <t>ADRENOKORTIKOTROPIN (ACTH)</t>
  </si>
  <si>
    <t>91151</t>
  </si>
  <si>
    <t>STANOVENÍ OROSOMUKOIDU</t>
  </si>
  <si>
    <t>91195</t>
  </si>
  <si>
    <t>STANOVENÍ C - REAKTIVNÍHO PROTEINU ELISA</t>
  </si>
  <si>
    <t>81773</t>
  </si>
  <si>
    <t>KREATINKINÁZA IZOENZYMY CK-MB MASS</t>
  </si>
  <si>
    <t>81775</t>
  </si>
  <si>
    <t>KVANTITATIVNÍ ANALÝZA MOCE</t>
  </si>
  <si>
    <t>81769</t>
  </si>
  <si>
    <t>KVANTITATIVNÍ STANOVENI HOLOTRANSKOBALAMINU /HOLOT</t>
  </si>
  <si>
    <t>81765</t>
  </si>
  <si>
    <t>CHROMOGRANIN A - STANOVENÍ KONCENTRACE V SÉRU NEBO</t>
  </si>
  <si>
    <t>81739</t>
  </si>
  <si>
    <t>STANOVENÍ PLACENTÁRNÍHO RŮSTOVÉHO FAKTORU (PIGF) V</t>
  </si>
  <si>
    <t>81741</t>
  </si>
  <si>
    <t>STANOVENÍ KONCENTRACE SOLUBILNÍHO FAKTORU PODOBNÉH</t>
  </si>
  <si>
    <t>81753</t>
  </si>
  <si>
    <t>VYŠETŘENÍ AKTIVITY BIOTINIDÁZY V RÁMCI NOVOROZENEC</t>
  </si>
  <si>
    <t>81763</t>
  </si>
  <si>
    <t>STANOVENÍ NGAL V MOČI</t>
  </si>
  <si>
    <t>81757</t>
  </si>
  <si>
    <t>SEMIKVANTITATIVNÍ FLUORIMETRICKÉ STANOVENÍ BIOTINI</t>
  </si>
  <si>
    <t>81735</t>
  </si>
  <si>
    <t>STANOVENÍ PRESEPSINU (SUBTYP SOLUBILNÍHO CD 14)</t>
  </si>
  <si>
    <t>813</t>
  </si>
  <si>
    <t>91197</t>
  </si>
  <si>
    <t>STANOVENÍ CYTOKINU ELISA</t>
  </si>
  <si>
    <t>34</t>
  </si>
  <si>
    <t>0003132</t>
  </si>
  <si>
    <t>GADOVIST</t>
  </si>
  <si>
    <t>0003134</t>
  </si>
  <si>
    <t>0022075</t>
  </si>
  <si>
    <t>IOMERON 400</t>
  </si>
  <si>
    <t>0042433</t>
  </si>
  <si>
    <t>0059494</t>
  </si>
  <si>
    <t>LIPIODOL ULTRA-FLUIDE</t>
  </si>
  <si>
    <t>0077018</t>
  </si>
  <si>
    <t>0077019</t>
  </si>
  <si>
    <t>0077024</t>
  </si>
  <si>
    <t>ULTRAVIST 300</t>
  </si>
  <si>
    <t>0093626</t>
  </si>
  <si>
    <t>0095607</t>
  </si>
  <si>
    <t>MICROPAQUE</t>
  </si>
  <si>
    <t>0095609</t>
  </si>
  <si>
    <t>MICROPAQUE CT</t>
  </si>
  <si>
    <t>0151208</t>
  </si>
  <si>
    <t>0224707</t>
  </si>
  <si>
    <t>0224716</t>
  </si>
  <si>
    <t>0207733</t>
  </si>
  <si>
    <t>0207745</t>
  </si>
  <si>
    <t>0224696</t>
  </si>
  <si>
    <t>0224708</t>
  </si>
  <si>
    <t>0034038</t>
  </si>
  <si>
    <t>JEHLA BIOPTICKÁ ASPIRAČNÍ, CHIBA,ECHOTIP</t>
  </si>
  <si>
    <t>0038462</t>
  </si>
  <si>
    <t>0038471</t>
  </si>
  <si>
    <t>0038483</t>
  </si>
  <si>
    <t>0038498</t>
  </si>
  <si>
    <t>KATETR ANGIOGRAFICKÝ GLIDECATH</t>
  </si>
  <si>
    <t>0038503</t>
  </si>
  <si>
    <t>SOUPRAVA ZAVÁDĚCÍ INTRODUCER</t>
  </si>
  <si>
    <t>0038505</t>
  </si>
  <si>
    <t>0047480</t>
  </si>
  <si>
    <t>KATETR BALÓNKOVÝ PTCA</t>
  </si>
  <si>
    <t>0047648</t>
  </si>
  <si>
    <t>KATETR ANGIOGRAFICKÝ OUTLOOK RQ-4</t>
  </si>
  <si>
    <t>0048264</t>
  </si>
  <si>
    <t>DRÁT NEUROINTERVENČNÍ</t>
  </si>
  <si>
    <t>0048307</t>
  </si>
  <si>
    <t>STENTGRAFT PERIFERNÍ VASKULÁRNÍ - FLUENCY; SAMOEXP</t>
  </si>
  <si>
    <t>0048523</t>
  </si>
  <si>
    <t>DRÁT VODÍCÍ PTA - SELECTIVA; INTERVENČNÍ 60/80/145</t>
  </si>
  <si>
    <t>0048668</t>
  </si>
  <si>
    <t>DRÁT VODÍCÍ NITINOL</t>
  </si>
  <si>
    <t>0049926</t>
  </si>
  <si>
    <t>STENT PERIFERNÍ VASKULÁRNÍ; BILIÁRNÍ - ABSOLUTE.03</t>
  </si>
  <si>
    <t>0050237</t>
  </si>
  <si>
    <t>DRÁT VODÍCÍ CHOICE PLUS</t>
  </si>
  <si>
    <t>0052140</t>
  </si>
  <si>
    <t>KATETR BALÓNKOVÝ PTA - WANDA; SMASH</t>
  </si>
  <si>
    <t>0052704</t>
  </si>
  <si>
    <t>KATETR DRENÁŽNÍ</t>
  </si>
  <si>
    <t>0053563</t>
  </si>
  <si>
    <t>KATETR DIAGNOSTICKÝ TEMPO4F,5F</t>
  </si>
  <si>
    <t>0053643</t>
  </si>
  <si>
    <t>KATETR BALÓNKOVÝ PTA - QUADRIMATRIX/MARS</t>
  </si>
  <si>
    <t>0053925</t>
  </si>
  <si>
    <t>KATETR BALÓNKOVÝ PTA - SYMMETRY; MUSTANG</t>
  </si>
  <si>
    <t>0053936</t>
  </si>
  <si>
    <t>SYSTÉM ZAVÁDĚCÍ ACCUSTICK II 20-705</t>
  </si>
  <si>
    <t>0054358</t>
  </si>
  <si>
    <t>KATETR DIAGNOSTICKÝ SUPER TORQUE 5F,6F 533525-686</t>
  </si>
  <si>
    <t>0054472</t>
  </si>
  <si>
    <t>KATETR BALÓNKOVÝ OKLUZNÍ PRO ZENITH</t>
  </si>
  <si>
    <t>0056125</t>
  </si>
  <si>
    <t>KATETR ASPIRAČNÍ, KATETR MĚŘÍCÍ</t>
  </si>
  <si>
    <t>0056361</t>
  </si>
  <si>
    <t>ZAVADĚČ FLEXOR BALKIN RADIOOPÁKNÍ ZNAČKA</t>
  </si>
  <si>
    <t>0056365</t>
  </si>
  <si>
    <t>ZAVADĚČ MIKROPUNKČNÍ, NITINOLOVÝ VODIČ</t>
  </si>
  <si>
    <t>0056476</t>
  </si>
  <si>
    <t>STENTGRAFT KORONÁRNÍ - GRAFTMASTER RX</t>
  </si>
  <si>
    <t>0057298</t>
  </si>
  <si>
    <t>STENT PERIFERNÍ VASKULÁRNÍ - E-LUMINEXX; SAMOEXPAN</t>
  </si>
  <si>
    <t>0057418</t>
  </si>
  <si>
    <t>DRÁT VODÍCÍ 300CM M001468XX0</t>
  </si>
  <si>
    <t>0057769</t>
  </si>
  <si>
    <t>DILATÁTOR COPE-SADDEKNI SFA ACCESS</t>
  </si>
  <si>
    <t>0057792</t>
  </si>
  <si>
    <t>SHUNT TRANSJUGULÁRNÍ RING-CS</t>
  </si>
  <si>
    <t>0057823</t>
  </si>
  <si>
    <t>KATETR ANGIOGRAFICKÝ TORCON,PRŮMĚR 4.1 AŽ 7 FRENCH</t>
  </si>
  <si>
    <t>0057824</t>
  </si>
  <si>
    <t>0057832</t>
  </si>
  <si>
    <t>KATETR ANGIOGRAFICKÝ TFE,PRŮMĚR 3 AŽ 7 FRENCH</t>
  </si>
  <si>
    <t>0058463</t>
  </si>
  <si>
    <t>VODIČ DRÁTĚNÝ LUNDERQUIST EXTRA STIFF</t>
  </si>
  <si>
    <t>0058736</t>
  </si>
  <si>
    <t>TĚLÍSKO EMBOLIZAČNÍ NESTER</t>
  </si>
  <si>
    <t>0059345</t>
  </si>
  <si>
    <t>INDEFLÁTOR - ZAŘÍZENÍ INSUFLAČNÍ - INFLATION DEVIC</t>
  </si>
  <si>
    <t>0059569</t>
  </si>
  <si>
    <t>SPIRÁLA EMBOLIZAČNÍ - PERIFER.,INTRAKR.-DETECHABLE</t>
  </si>
  <si>
    <t>0059579</t>
  </si>
  <si>
    <t>STENTGRAFT PERIF VASKULÁRNÍ - GORE VIATORR TIPS; K</t>
  </si>
  <si>
    <t>0059795</t>
  </si>
  <si>
    <t>DRÁT VODÍCÍ ANGIODYN J3 FC-FS 150-0,35</t>
  </si>
  <si>
    <t>0092125</t>
  </si>
  <si>
    <t>MIKROKATETR PROGREAT PC2411-2813, PP27111-27131</t>
  </si>
  <si>
    <t>0092127</t>
  </si>
  <si>
    <t>ČÁSTICE EMBOLIZAČNÍ - EMBOSFÉRY EB2S103-912</t>
  </si>
  <si>
    <t>0092128</t>
  </si>
  <si>
    <t>SOUPRAVA ZAVÁDĚCÍ DESTINATION - 45CM</t>
  </si>
  <si>
    <t>0092559</t>
  </si>
  <si>
    <t>SADA AG - SYSTÉM PRO UZAVÍRÁNÍ CÉV - FEMORÁLNÍ - S</t>
  </si>
  <si>
    <t>0092932</t>
  </si>
  <si>
    <t>SADA DRENÁŽNÍ</t>
  </si>
  <si>
    <t>SADA DRENÁŽNÍ S FIXAČNÍ SADOU DRAIN-LOK</t>
  </si>
  <si>
    <t>0094736</t>
  </si>
  <si>
    <t>STENT PERIFERNÍ VASKULÁRNÍ - EPIC; SAMOEXPANDIBILN</t>
  </si>
  <si>
    <t>0141815</t>
  </si>
  <si>
    <t>STENT PERIFERNĺ VASKULÁRNÍ - OMNILINK ELITE ; BALO</t>
  </si>
  <si>
    <t>0192087</t>
  </si>
  <si>
    <t>STENTGRAFT AORTÁLNÍ BŘIŠNÍ - ZENITH FLEX AUI; TĚLO</t>
  </si>
  <si>
    <t>0192089</t>
  </si>
  <si>
    <t>STENTGRAFT AORTÁLNÍ BŘIŠNÍ - ZENITH LP - BIFURKAČN</t>
  </si>
  <si>
    <t>0193339</t>
  </si>
  <si>
    <t>STENTGRAFT AORTÁLNÍ BŘIŠNÍ - ZENITH - NOHA SPIRÁLN</t>
  </si>
  <si>
    <t>0151536</t>
  </si>
  <si>
    <t xml:space="preserve">DRÁT VODÍCÍ PTA - BTK - TREASURE 12/FLOPPY;ASTATO </t>
  </si>
  <si>
    <t>0192083</t>
  </si>
  <si>
    <t>OKLUDER AVP - AMPLATZER</t>
  </si>
  <si>
    <t>0051244</t>
  </si>
  <si>
    <t>KATETR VODÍCÍ GUIDER</t>
  </si>
  <si>
    <t>0057416</t>
  </si>
  <si>
    <t>DRÁT VODÍCÍ 110CM,150CM M001468XX0</t>
  </si>
  <si>
    <t>0111638</t>
  </si>
  <si>
    <t>STENT PERIFERNÍ VASKUL. - ISTHMUS LOGIC CARBOSTENT</t>
  </si>
  <si>
    <t>0059796</t>
  </si>
  <si>
    <t>DRÁT VODÍCÍ ANGIODYN J3 SFC-FS 150-0,35</t>
  </si>
  <si>
    <t>0057846</t>
  </si>
  <si>
    <t>TĚLÍSKO EMBOLIZAČNÍ HILAL</t>
  </si>
  <si>
    <t>0054478</t>
  </si>
  <si>
    <t>STENTGRAFT AORTÁLNÍ BŘIŠNÍ - ZENITH FLEX AAA; BIFU</t>
  </si>
  <si>
    <t>0047805</t>
  </si>
  <si>
    <t>SADA AG-JEHLA ANGIOGRAFICKÁ</t>
  </si>
  <si>
    <t>0141714</t>
  </si>
  <si>
    <t>0049005</t>
  </si>
  <si>
    <t>KATETR TROMBEKTOMICKÝ - ROTAREX-ANTEGRADNÍ(KATETR,</t>
  </si>
  <si>
    <t>0151946</t>
  </si>
  <si>
    <t>STENTGRAFT PERIFERNÍ VASKULÁRNÍ - GORE VIABAHN; SA</t>
  </si>
  <si>
    <t>0152417</t>
  </si>
  <si>
    <t>STENT PERIFERNÍ VASKULÁRNÍ - LIFESTREAM; POTAH PTF</t>
  </si>
  <si>
    <t>0092011</t>
  </si>
  <si>
    <t>BALÓNEK DILATAČNÍ - JÍCNOVÝ</t>
  </si>
  <si>
    <t>0152522</t>
  </si>
  <si>
    <t>STENT PERIFERNÍ VASKULÁRNÍ - RADIX2; BALONEXPANDIB</t>
  </si>
  <si>
    <t>0115223</t>
  </si>
  <si>
    <t>KATETR VODÍCÍ INTRAKRANIÁLNÍ FUBUKI (VČETNĚ DILATÁ</t>
  </si>
  <si>
    <t>0151036</t>
  </si>
  <si>
    <t>KATETR BALÓNKOVÝ PTA - ADVANCE; 4F/80,135CM</t>
  </si>
  <si>
    <t>0151945</t>
  </si>
  <si>
    <t>0051196</t>
  </si>
  <si>
    <t>KATETR BALÓNKOVÝ PTA - ADMIRAL XTREME; OTW</t>
  </si>
  <si>
    <t>0092603</t>
  </si>
  <si>
    <t>KATETR BALÓNKOVÝ PTA - CLEARPAC OMEGA; .035</t>
  </si>
  <si>
    <t>0047552</t>
  </si>
  <si>
    <t>KATETR DIAGNOSTICKÝ PERFORMA, IMPRESS 4-5F</t>
  </si>
  <si>
    <t>0048669</t>
  </si>
  <si>
    <t>0056358</t>
  </si>
  <si>
    <t>0152784</t>
  </si>
  <si>
    <t>SPIRÁLA EMBOLIZAČNÍ PERIFERNÍ - RETRACTA; VČ. MECH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</si>
  <si>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</si>
  <si>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</si>
  <si>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</si>
  <si>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</si>
  <si>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</si>
  <si>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</si>
  <si>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</si>
  <si>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</si>
  <si>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</si>
  <si>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</si>
  <si>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</si>
  <si>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</si>
  <si>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</si>
  <si>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</si>
  <si>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89147</t>
  </si>
  <si>
    <t>RTG ŽALUDKU A DUODENA</t>
  </si>
  <si>
    <t>89313</t>
  </si>
  <si>
    <t xml:space="preserve">PERKUTÁNNÍ PUNKCE NEBO BIOPSIE ŘÍZENÁ RDG METODOU </t>
  </si>
  <si>
    <t>89317</t>
  </si>
  <si>
    <t>SELEKTIVNÍ TROMBOLÝZA</t>
  </si>
  <si>
    <t>89323</t>
  </si>
  <si>
    <t>TERAPEUTICKÁ EMBOLIZACE V CÉVNÍM ŘEČIŠTI</t>
  </si>
  <si>
    <t>89327</t>
  </si>
  <si>
    <t>KONTROLNÍ NÁSTŘIK DRENÁŽNÍHO KATÉTRU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</si>
  <si>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</si>
  <si>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</si>
  <si>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</si>
  <si>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</si>
  <si>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89409</t>
  </si>
  <si>
    <t>ZAVEDENÍ STENTGRAFTU DO NEKORONÁRNÍHO TEPENNÉHO NE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</si>
  <si>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</si>
  <si>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</si>
  <si>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</si>
  <si>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</si>
  <si>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</si>
  <si>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</si>
  <si>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89453</t>
  </si>
  <si>
    <t>PERKUTÁNNÍ TRANSHEPATÁLNÍ CHOLANGIOGRAFIE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</si>
  <si>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</si>
  <si>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</si>
  <si>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</si>
  <si>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</si>
  <si>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</si>
  <si>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</si>
  <si>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</si>
  <si>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</si>
  <si>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</si>
  <si>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</si>
  <si>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</si>
  <si>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</si>
  <si>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</si>
  <si>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</si>
  <si>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</si>
  <si>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</si>
  <si>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89151</t>
  </si>
  <si>
    <t>PASÁŽ TRÁVICÍ TRUBICÍ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</si>
  <si>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</si>
  <si>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</si>
  <si>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</si>
  <si>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</si>
  <si>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</si>
  <si>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</si>
  <si>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</si>
  <si>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</si>
  <si>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</si>
  <si>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</si>
  <si>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</si>
  <si>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</si>
  <si>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89161</t>
  </si>
  <si>
    <t>CHOLANGIOGRAFIE PEROPERAČNÍ NEBO T-DRÉNEM</t>
  </si>
  <si>
    <t>89611</t>
  </si>
  <si>
    <t>CT VYŠETŘENÍ HLAVY NEBO TĚLA NATIVNÍ A KONTRASTNÍ</t>
  </si>
  <si>
    <t>89415</t>
  </si>
  <si>
    <t>89121</t>
  </si>
  <si>
    <t>RTG KŘÍŽOVÉ KOSTI A SI KLOUBŮ</t>
  </si>
  <si>
    <t>89155</t>
  </si>
  <si>
    <t>RTG VYŠETŘENÍ TLUSTÉHO STŘEVA</t>
  </si>
  <si>
    <t>89411</t>
  </si>
  <si>
    <t>PŘEHLEDNÁ  ČI SELEKTIVNÍ ANGIOGRAFIE</t>
  </si>
  <si>
    <t>89335</t>
  </si>
  <si>
    <t xml:space="preserve">ZAVEDENÍ LOKALIZÁTORU K NEHMATNÝM LOŽISKŮM VČETNĚ </t>
  </si>
  <si>
    <t>89325</t>
  </si>
  <si>
    <t>PERKUTÁNNÍ DRENÁŽ ABSCESU, CYSTY EV. JINÉ DUTINY R</t>
  </si>
  <si>
    <t>89441</t>
  </si>
  <si>
    <t>KATETRIZACE JATERNÍCH ŽIL</t>
  </si>
  <si>
    <t>89421</t>
  </si>
  <si>
    <t>MĚŘENÍ TLAKU PŘI ANGIOGRAFII</t>
  </si>
  <si>
    <t>89180</t>
  </si>
  <si>
    <t>DIAGNOSTICKÁ DIGITÁLNÍ MAMOGRAFIE NEBO DUKTOGRAFIE</t>
  </si>
  <si>
    <t>89447</t>
  </si>
  <si>
    <t>LYMFOGRAFIE, CELÝ VÝKON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</si>
  <si>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</si>
  <si>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</si>
  <si>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</si>
  <si>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</si>
  <si>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</si>
  <si>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</si>
  <si>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</si>
  <si>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</si>
  <si>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</si>
  <si>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</si>
  <si>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</si>
  <si>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</si>
  <si>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</si>
  <si>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</si>
  <si>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22355</t>
  </si>
  <si>
    <t>KONZULTACE ODBORNÉHO TRANSFÚZIOLOGA - IMUNOHEMATOL</t>
  </si>
  <si>
    <t>82077</t>
  </si>
  <si>
    <t>STANOVENÍ PROTILÁTEK CELKOVÝCH I IGM PROTI ANTIGEN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</si>
  <si>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</si>
  <si>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</si>
  <si>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</si>
  <si>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</si>
  <si>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</si>
  <si>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</si>
  <si>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</si>
  <si>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</si>
  <si>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(KROMĚ H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</si>
  <si>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</si>
  <si>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</si>
  <si>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</si>
  <si>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</si>
  <si>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</si>
  <si>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</si>
  <si>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</si>
  <si>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</si>
  <si>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</si>
  <si>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</si>
  <si>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</si>
  <si>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22341</t>
  </si>
  <si>
    <t>IDENTIFIKACE ANTIERYTROCYTÁRNÍCH PROTILÁTEK - ZKUM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</si>
  <si>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</si>
  <si>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</si>
  <si>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</si>
  <si>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</si>
  <si>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</si>
  <si>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</si>
  <si>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</si>
  <si>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</si>
  <si>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</si>
  <si>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</si>
  <si>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</si>
  <si>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</si>
  <si>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</si>
  <si>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</si>
  <si>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</si>
  <si>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</si>
  <si>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</si>
  <si>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</si>
  <si>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</si>
  <si>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</si>
  <si>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</si>
  <si>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</si>
  <si>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87413</t>
  </si>
  <si>
    <t>CYTOLOGICKÉ OTISKY A STĚRY -  ZA 1-3 PREPARÁTY</t>
  </si>
  <si>
    <t>87431</t>
  </si>
  <si>
    <t>PREPARÁTY METODOU CYTOBLOKU - ZA KAŽDÝ PREPARÁT</t>
  </si>
  <si>
    <t>87433</t>
  </si>
  <si>
    <t>STANDARDNÍ CYTOLOGICKÉ BARVENÍ,  ZA 1-3 PREPARÁTY</t>
  </si>
  <si>
    <t>87447</t>
  </si>
  <si>
    <t>CYTOLOGICKÉ PREPARÁTY ZHOTOVENÉ CYTOCENTRIFUGOU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</si>
  <si>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</si>
  <si>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</si>
  <si>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</si>
  <si>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</si>
  <si>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</si>
  <si>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</si>
  <si>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87617</t>
  </si>
  <si>
    <t xml:space="preserve">STANOVENÍ DIAGNÓZY IV. STUPNĚ OBTÍŽNOSTI Z JINÉHO </t>
  </si>
  <si>
    <t>94191</t>
  </si>
  <si>
    <t>FOTOGRAFIE GELU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</si>
  <si>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</si>
  <si>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</si>
  <si>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</si>
  <si>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</si>
  <si>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</si>
  <si>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</si>
  <si>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</si>
  <si>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</si>
  <si>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</si>
  <si>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</si>
  <si>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</si>
  <si>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</si>
  <si>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</si>
  <si>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</si>
  <si>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</si>
  <si>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</si>
  <si>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</si>
  <si>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</si>
  <si>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</si>
  <si>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</si>
  <si>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</si>
  <si>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</si>
  <si>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</si>
  <si>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</si>
  <si>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87435</t>
  </si>
  <si>
    <t>STANDARDNÍ CYTOLOGICKÉ BARVENÍ,  ZA 4-10  PREPARÁT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</si>
  <si>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</si>
  <si>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</si>
  <si>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</si>
  <si>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</si>
  <si>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</si>
  <si>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</si>
  <si>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</si>
  <si>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</si>
  <si>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87209</t>
  </si>
  <si>
    <t>HISTOTOPOGRAM (5 X 5 CM A VĚTŠÍ)</t>
  </si>
  <si>
    <t>87011</t>
  </si>
  <si>
    <t>KONZULTACE NÁLEZU PATOLOGEM CÍLENÁ NA ŽÁDOST OŠETŘ</t>
  </si>
  <si>
    <t>99790</t>
  </si>
  <si>
    <t>(VZP) EXPRESE HER2-IHC</t>
  </si>
  <si>
    <t>87624</t>
  </si>
  <si>
    <t xml:space="preserve">POLYMERÁZOVÁ ŘETĚZOVÁ REAKCE (PCR) Z PARAFINOVÝCH </t>
  </si>
  <si>
    <t>94235</t>
  </si>
  <si>
    <t>IZOLACE NUKLEOVÝCH KYSELIN (DNA, RNA) Z MALÉHO MNO</t>
  </si>
  <si>
    <t>87618</t>
  </si>
  <si>
    <t>IMUNOHISTOCHEMIE CERTIFIKOVANÝCH KITEM Z HISTOLOGI</t>
  </si>
  <si>
    <t>94239</t>
  </si>
  <si>
    <t>FRAGMENTAČNÍ ANALÝZA LIDSKÉHO SOMATICKÉHO GENOMU</t>
  </si>
  <si>
    <t>40</t>
  </si>
  <si>
    <t>802</t>
  </si>
  <si>
    <t>82001</t>
  </si>
  <si>
    <t>KONZULTACE K MIKROBIOLOGICKÉMU, PARAZITOLOGICKÉMU,</t>
  </si>
  <si>
    <t>82041</t>
  </si>
  <si>
    <t>AMPLIFIKACE EXTRAHUMÁNNÍHO GENOMU METODOU POLYMERÁ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</si>
  <si>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</si>
  <si>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</si>
  <si>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</si>
  <si>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</si>
  <si>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</si>
  <si>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</si>
  <si>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</si>
  <si>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</si>
  <si>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</si>
  <si>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</si>
  <si>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</si>
  <si>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</si>
  <si>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</si>
  <si>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</si>
  <si>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</si>
  <si>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KULTIVAČNÍ VYŠETŘENÍ NA MYKOBAKTERIA RYCHLOU KULTI</t>
  </si>
  <si>
    <t>84011</t>
  </si>
  <si>
    <t>STANDARDNÍ PARAZITOLOGICKÉ VYŠETŘENÍ STOLICE</t>
  </si>
  <si>
    <t>98111</t>
  </si>
  <si>
    <t>MYKOLOGICKÉ VYŠETŘENÍ KULTIVAČNÍ</t>
  </si>
  <si>
    <t>98117</t>
  </si>
  <si>
    <t>CÍLENÁ IDENTIFIKACE CANDIDA ALBICANS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</si>
  <si>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</si>
  <si>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</si>
  <si>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</si>
  <si>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</si>
  <si>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</si>
  <si>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</si>
  <si>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</si>
  <si>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</si>
  <si>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</si>
  <si>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</si>
  <si>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98119</t>
  </si>
  <si>
    <t>IDENTIFIKACE VLÁKNITÝCH HUB</t>
  </si>
  <si>
    <t>82083</t>
  </si>
  <si>
    <t>PRŮKAZ BAKTERIÁLNÍHO TOXINU NEBO ANTIGENU</t>
  </si>
  <si>
    <t>91419</t>
  </si>
  <si>
    <t xml:space="preserve">AUTOVAKCÍNA BAKTERIÁLNÍ PRO PERORÁLNÍ PODÁNÍ (4-6 </t>
  </si>
  <si>
    <t>82149</t>
  </si>
  <si>
    <t>SEROTYPIZACE STŘEVNÍCH A JINÝCH PATOGENŮ</t>
  </si>
  <si>
    <t>82123</t>
  </si>
  <si>
    <t>PRŮKAZ BAKTERIÁLNÍHO, VIROVÉHO, PARAZITÁRNÍHO, EVE</t>
  </si>
  <si>
    <t>82129</t>
  </si>
  <si>
    <t xml:space="preserve">PŘÍMÁ IDENTIFIKACE BAKTERIÁLNÍHO NEBO MYKOTICKÉHO </t>
  </si>
  <si>
    <t>82036</t>
  </si>
  <si>
    <t>AMPLIFIKACE EXTRAHUMÁNNÍHO GENOMU METODOU MULTIPLE</t>
  </si>
  <si>
    <t>82034</t>
  </si>
  <si>
    <t>IZOLACE DNA PRO VYŠETŘENÍ EXTRAHUMÁNNÍHO GENOMU</t>
  </si>
  <si>
    <t>82040</t>
  </si>
  <si>
    <t>IZOLACE RNA A TRANSKRIPCE PRO VYŠETŘENÍ EXTRAHUMÁN</t>
  </si>
  <si>
    <t>84013</t>
  </si>
  <si>
    <t>SPECIALIZOVANÉ PARAZITOLOGICKÉ VYŠETŘENÍ STOLICE P</t>
  </si>
  <si>
    <t>82060</t>
  </si>
  <si>
    <t>ANALÝZA HMOTOVÉHO SPEKTRA</t>
  </si>
  <si>
    <t>82066</t>
  </si>
  <si>
    <t>STANOVENÍ CITLIVOSTI NA ATB E-TESTEM</t>
  </si>
  <si>
    <t>82051</t>
  </si>
  <si>
    <t>MIKROSKOPICKÉ VYŠETŘENÍ PO FLUORESCENČNÍM BARVENÍ</t>
  </si>
  <si>
    <t>41</t>
  </si>
  <si>
    <t>86413</t>
  </si>
  <si>
    <t>SCREENING PROTILÁTEK NA PANELU 30TI DÁRCŮ</t>
  </si>
  <si>
    <t>91111</t>
  </si>
  <si>
    <t>STANOVENÍ IgG1</t>
  </si>
  <si>
    <t>91116</t>
  </si>
  <si>
    <t>STANOVENÍ IgG4</t>
  </si>
  <si>
    <t>91131</t>
  </si>
  <si>
    <t>STANOVENÍ IgA</t>
  </si>
  <si>
    <t>91161</t>
  </si>
  <si>
    <t>STANOVENÍ C4 SLOŽKY KOMPLEMENTU</t>
  </si>
  <si>
    <t>91277</t>
  </si>
  <si>
    <t>STANOVENÍ ANTI-MPO ELISA</t>
  </si>
  <si>
    <t>91323</t>
  </si>
  <si>
    <t>PRŮKAZ ANCA IF</t>
  </si>
  <si>
    <t>91355</t>
  </si>
  <si>
    <t>STANOVENÍ CIK METODOU PEG-IKEM</t>
  </si>
  <si>
    <t>22321</t>
  </si>
  <si>
    <t>URČENÍ SPECIFITY TROMBOCYTÁRNÍ PROTILÁTKY</t>
  </si>
  <si>
    <t>91189</t>
  </si>
  <si>
    <t>STANOVENÍ IgE</t>
  </si>
  <si>
    <t>91493</t>
  </si>
  <si>
    <t>IMUNOANALYTICKÉ STANOVENÍ AUTOPROTILÁTEK PROTI SPE</t>
  </si>
  <si>
    <t>91279</t>
  </si>
  <si>
    <t>STANOVENÍ ANTI-PR3 ELISA</t>
  </si>
  <si>
    <t>91115</t>
  </si>
  <si>
    <t>STANOVENÍ IgG3</t>
  </si>
  <si>
    <t>91159</t>
  </si>
  <si>
    <t>STANOVENÍ C3 SLOŽKY KOMPLEMENTU</t>
  </si>
  <si>
    <t>91489</t>
  </si>
  <si>
    <t>IMUNOANALYTICKÉ STANOVENÍ AUTOPROTILÁTEK PROTI LKM</t>
  </si>
  <si>
    <t>22217</t>
  </si>
  <si>
    <t xml:space="preserve">SCREENINGOVÉ VYŠETŘENÍ TROMBOCYTÁRNÍCH PROTILÁTEK </t>
  </si>
  <si>
    <t>91113</t>
  </si>
  <si>
    <t>STANOVENÍ IgG2</t>
  </si>
  <si>
    <t>86415</t>
  </si>
  <si>
    <t>SCREENING PROTILÁTEK NA PANELU 100 DÁRCŮ POMOCÍ DT</t>
  </si>
  <si>
    <t>91125</t>
  </si>
  <si>
    <t>STANOVENÍ INHIBITORU C1 ESTERÁZY</t>
  </si>
  <si>
    <t>91363</t>
  </si>
  <si>
    <t>STANOVENÍ AKTIVITY INHIBITORU C1 ESTERÁZY</t>
  </si>
  <si>
    <t>44</t>
  </si>
  <si>
    <t>94211</t>
  </si>
  <si>
    <t>DLOUHODOBÁ KULTIVACE BUNĚK RŮZNÝCH TKÁNÍ Z PRENATÁ</t>
  </si>
  <si>
    <t>94200</t>
  </si>
  <si>
    <t xml:space="preserve">(VZP) KVANTITATIVNÍ PCR (qPCR) V REÁLNÉM ČASE PRO </t>
  </si>
  <si>
    <t>99795</t>
  </si>
  <si>
    <t>(VZP) MUTACE BRAF</t>
  </si>
  <si>
    <t>99794</t>
  </si>
  <si>
    <t>(VZP) MUTACE EGFR</t>
  </si>
  <si>
    <t>99797</t>
  </si>
  <si>
    <t>(VZP) MUTACE NRAS</t>
  </si>
  <si>
    <t>99796</t>
  </si>
  <si>
    <t>(VZP) MUTACE KRAS</t>
  </si>
  <si>
    <t>94237</t>
  </si>
  <si>
    <t>FRAGMENTAČNÍ ANALÝZA LIDSKÉHO GERMINÁLNÍHO GENOMU</t>
  </si>
  <si>
    <t>Zdravotní výkony (vybraných odborností) vyžádané pro pacienty hospitalizované na vlastním pracovišti - orientační přehled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</si>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</sst>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  <numFmt numFmtId="178" formatCode="#,##0.000"/>
  </numFmts>
  <fonts count="7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920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0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0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164" fontId="3" fillId="0" borderId="64" xfId="53" applyNumberFormat="1" applyFont="1" applyFill="1" applyBorder="1"/>
    <xf numFmtId="9" fontId="3" fillId="0" borderId="64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48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45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47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59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58" xfId="78" applyNumberFormat="1" applyFont="1" applyFill="1" applyBorder="1"/>
    <xf numFmtId="0" fontId="3" fillId="2" borderId="62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44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46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59" xfId="33" applyFont="1" applyFill="1" applyBorder="1" applyAlignment="1">
      <alignment horizontal="center" vertical="center"/>
    </xf>
    <xf numFmtId="9" fontId="3" fillId="0" borderId="63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0" xfId="0" applyFont="1" applyFill="1" applyBorder="1"/>
    <xf numFmtId="0" fontId="34" fillId="5" borderId="48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62" xfId="53" applyFont="1" applyFill="1" applyBorder="1" applyAlignment="1">
      <alignment horizontal="right"/>
    </xf>
    <xf numFmtId="164" fontId="33" fillId="0" borderId="67" xfId="53" applyNumberFormat="1" applyFont="1" applyFill="1" applyBorder="1"/>
    <xf numFmtId="164" fontId="33" fillId="0" borderId="68" xfId="53" applyNumberFormat="1" applyFont="1" applyFill="1" applyBorder="1"/>
    <xf numFmtId="9" fontId="33" fillId="0" borderId="69" xfId="83" applyNumberFormat="1" applyFont="1" applyFill="1" applyBorder="1"/>
    <xf numFmtId="3" fontId="33" fillId="0" borderId="69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48" xfId="26" applyFont="1" applyFill="1" applyBorder="1" applyAlignment="1">
      <alignment horizontal="right"/>
    </xf>
    <xf numFmtId="170" fontId="31" fillId="0" borderId="44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46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48" xfId="0" applyFont="1" applyFill="1" applyBorder="1" applyAlignment="1">
      <alignment horizontal="center"/>
    </xf>
    <xf numFmtId="3" fontId="3" fillId="0" borderId="63" xfId="53" applyNumberFormat="1" applyFont="1" applyFill="1" applyBorder="1"/>
    <xf numFmtId="3" fontId="3" fillId="0" borderId="64" xfId="53" applyNumberFormat="1" applyFont="1" applyFill="1" applyBorder="1"/>
    <xf numFmtId="3" fontId="3" fillId="0" borderId="65" xfId="53" applyNumberFormat="1" applyFont="1" applyFill="1" applyBorder="1"/>
    <xf numFmtId="0" fontId="33" fillId="2" borderId="48" xfId="0" applyNumberFormat="1" applyFont="1" applyFill="1" applyBorder="1" applyAlignment="1">
      <alignment horizontal="center"/>
    </xf>
    <xf numFmtId="3" fontId="3" fillId="0" borderId="66" xfId="53" applyNumberFormat="1" applyFont="1" applyFill="1" applyBorder="1"/>
    <xf numFmtId="3" fontId="3" fillId="0" borderId="71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44" xfId="74" applyFont="1" applyFill="1" applyBorder="1" applyAlignment="1">
      <alignment horizontal="center"/>
    </xf>
    <xf numFmtId="0" fontId="29" fillId="5" borderId="40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73" xfId="26" applyNumberFormat="1" applyFont="1" applyFill="1" applyBorder="1"/>
    <xf numFmtId="3" fontId="31" fillId="7" borderId="56" xfId="26" applyNumberFormat="1" applyFont="1" applyFill="1" applyBorder="1"/>
    <xf numFmtId="167" fontId="33" fillId="7" borderId="61" xfId="86" applyNumberFormat="1" applyFont="1" applyFill="1" applyBorder="1" applyAlignment="1">
      <alignment horizontal="right"/>
    </xf>
    <xf numFmtId="3" fontId="31" fillId="7" borderId="74" xfId="26" applyNumberFormat="1" applyFont="1" applyFill="1" applyBorder="1"/>
    <xf numFmtId="167" fontId="33" fillId="7" borderId="61" xfId="86" applyNumberFormat="1" applyFont="1" applyFill="1" applyBorder="1"/>
    <xf numFmtId="3" fontId="31" fillId="0" borderId="73" xfId="26" applyNumberFormat="1" applyFont="1" applyFill="1" applyBorder="1" applyAlignment="1">
      <alignment horizontal="center"/>
    </xf>
    <xf numFmtId="3" fontId="31" fillId="0" borderId="61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3" fontId="31" fillId="7" borderId="61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48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57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1" xfId="0" applyNumberFormat="1" applyFont="1" applyFill="1" applyBorder="1"/>
    <xf numFmtId="3" fontId="41" fillId="2" borderId="53" xfId="0" applyNumberFormat="1" applyFont="1" applyFill="1" applyBorder="1"/>
    <xf numFmtId="9" fontId="41" fillId="2" borderId="58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55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0" xfId="0" applyFont="1" applyFill="1" applyBorder="1" applyAlignment="1">
      <alignment horizontal="left" indent="2"/>
    </xf>
    <xf numFmtId="0" fontId="34" fillId="0" borderId="40" xfId="0" applyFont="1" applyBorder="1" applyAlignment="1"/>
    <xf numFmtId="3" fontId="34" fillId="0" borderId="40" xfId="0" applyNumberFormat="1" applyFont="1" applyBorder="1" applyAlignment="1"/>
    <xf numFmtId="9" fontId="34" fillId="0" borderId="40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55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48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0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0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48" xfId="0" applyNumberFormat="1" applyFont="1" applyFill="1" applyBorder="1" applyAlignment="1"/>
    <xf numFmtId="9" fontId="34" fillId="0" borderId="48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0" xfId="26" applyFont="1" applyFill="1" applyBorder="1" applyAlignment="1">
      <alignment vertical="center"/>
    </xf>
    <xf numFmtId="168" fontId="3" fillId="0" borderId="40" xfId="26" applyNumberFormat="1" applyFont="1" applyFill="1" applyBorder="1" applyAlignment="1">
      <alignment vertical="center"/>
    </xf>
    <xf numFmtId="166" fontId="3" fillId="0" borderId="40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00" xfId="74" applyFont="1" applyFill="1" applyBorder="1" applyAlignment="1">
      <alignment horizontal="center"/>
    </xf>
    <xf numFmtId="0" fontId="33" fillId="2" borderId="80" xfId="81" applyFont="1" applyFill="1" applyBorder="1" applyAlignment="1">
      <alignment horizontal="center"/>
    </xf>
    <xf numFmtId="0" fontId="33" fillId="2" borderId="81" xfId="81" applyFont="1" applyFill="1" applyBorder="1" applyAlignment="1">
      <alignment horizontal="center"/>
    </xf>
    <xf numFmtId="0" fontId="33" fillId="2" borderId="82" xfId="81" applyFont="1" applyFill="1" applyBorder="1" applyAlignment="1">
      <alignment horizontal="center"/>
    </xf>
    <xf numFmtId="0" fontId="33" fillId="2" borderId="83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67" xfId="53" applyNumberFormat="1" applyFont="1" applyFill="1" applyBorder="1"/>
    <xf numFmtId="3" fontId="33" fillId="0" borderId="68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88" xfId="0" applyFont="1" applyFill="1" applyBorder="1"/>
    <xf numFmtId="0" fontId="34" fillId="0" borderId="89" xfId="0" applyFont="1" applyBorder="1" applyAlignment="1"/>
    <xf numFmtId="9" fontId="34" fillId="0" borderId="87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87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0" xfId="26" applyNumberFormat="1" applyFont="1" applyFill="1" applyBorder="1"/>
    <xf numFmtId="167" fontId="33" fillId="3" borderId="50" xfId="26" applyNumberFormat="1" applyFont="1" applyFill="1" applyBorder="1"/>
    <xf numFmtId="167" fontId="33" fillId="4" borderId="50" xfId="26" applyNumberFormat="1" applyFont="1" applyFill="1" applyBorder="1"/>
    <xf numFmtId="167" fontId="33" fillId="10" borderId="50" xfId="26" applyNumberFormat="1" applyFont="1" applyFill="1" applyBorder="1"/>
    <xf numFmtId="167" fontId="31" fillId="7" borderId="17" xfId="26" applyNumberFormat="1" applyFont="1" applyFill="1" applyBorder="1"/>
    <xf numFmtId="167" fontId="31" fillId="7" borderId="97" xfId="26" applyNumberFormat="1" applyFont="1" applyFill="1" applyBorder="1"/>
    <xf numFmtId="167" fontId="31" fillId="7" borderId="104" xfId="26" applyNumberFormat="1" applyFont="1" applyFill="1" applyBorder="1"/>
    <xf numFmtId="0" fontId="27" fillId="4" borderId="85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86" xfId="0" applyFont="1" applyBorder="1"/>
    <xf numFmtId="0" fontId="33" fillId="2" borderId="76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2" xfId="81" applyFont="1" applyFill="1" applyBorder="1" applyAlignment="1">
      <alignment horizontal="center"/>
    </xf>
    <xf numFmtId="0" fontId="33" fillId="2" borderId="43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55" xfId="26" applyNumberFormat="1" applyFont="1" applyFill="1" applyBorder="1"/>
    <xf numFmtId="3" fontId="33" fillId="7" borderId="85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61" xfId="0" applyNumberFormat="1" applyFont="1" applyBorder="1" applyAlignment="1">
      <alignment horizontal="right" vertical="center"/>
    </xf>
    <xf numFmtId="9" fontId="41" fillId="0" borderId="108" xfId="0" applyNumberFormat="1" applyFont="1" applyBorder="1" applyAlignment="1">
      <alignment horizontal="right" vertical="center"/>
    </xf>
    <xf numFmtId="173" fontId="41" fillId="0" borderId="108" xfId="0" applyNumberFormat="1" applyFont="1" applyBorder="1" applyAlignment="1">
      <alignment horizontal="right" vertical="center"/>
    </xf>
    <xf numFmtId="173" fontId="41" fillId="0" borderId="74" xfId="0" applyNumberFormat="1" applyFont="1" applyBorder="1" applyAlignment="1">
      <alignment horizontal="right" vertical="center"/>
    </xf>
    <xf numFmtId="173" fontId="41" fillId="0" borderId="76" xfId="0" applyNumberFormat="1" applyFont="1" applyBorder="1" applyAlignment="1">
      <alignment vertical="center"/>
    </xf>
    <xf numFmtId="173" fontId="41" fillId="0" borderId="109" xfId="0" applyNumberFormat="1" applyFont="1" applyBorder="1" applyAlignment="1">
      <alignment vertical="center"/>
    </xf>
    <xf numFmtId="173" fontId="41" fillId="0" borderId="108" xfId="0" applyNumberFormat="1" applyFont="1" applyBorder="1" applyAlignment="1">
      <alignment vertical="center"/>
    </xf>
    <xf numFmtId="173" fontId="41" fillId="0" borderId="74" xfId="0" applyNumberFormat="1" applyFont="1" applyBorder="1" applyAlignment="1">
      <alignment vertical="center"/>
    </xf>
    <xf numFmtId="173" fontId="41" fillId="0" borderId="110" xfId="0" applyNumberFormat="1" applyFont="1" applyBorder="1" applyAlignment="1">
      <alignment vertical="center"/>
    </xf>
    <xf numFmtId="174" fontId="41" fillId="0" borderId="111" xfId="0" applyNumberFormat="1" applyFont="1" applyBorder="1" applyAlignment="1">
      <alignment vertical="center"/>
    </xf>
    <xf numFmtId="174" fontId="41" fillId="0" borderId="108" xfId="0" applyNumberFormat="1" applyFont="1" applyBorder="1" applyAlignment="1">
      <alignment vertical="center"/>
    </xf>
    <xf numFmtId="174" fontId="41" fillId="0" borderId="74" xfId="0" applyNumberFormat="1" applyFont="1" applyBorder="1" applyAlignment="1">
      <alignment vertical="center"/>
    </xf>
    <xf numFmtId="168" fontId="41" fillId="0" borderId="101" xfId="0" applyNumberFormat="1" applyFont="1" applyBorder="1" applyAlignment="1">
      <alignment vertical="center"/>
    </xf>
    <xf numFmtId="0" fontId="34" fillId="0" borderId="109" xfId="0" applyFont="1" applyBorder="1" applyAlignment="1">
      <alignment horizontal="center" vertical="center"/>
    </xf>
    <xf numFmtId="166" fontId="41" fillId="2" borderId="74" xfId="0" applyNumberFormat="1" applyFont="1" applyFill="1" applyBorder="1" applyAlignment="1">
      <alignment horizontal="center" vertical="center"/>
    </xf>
    <xf numFmtId="173" fontId="41" fillId="0" borderId="83" xfId="0" applyNumberFormat="1" applyFont="1" applyBorder="1" applyAlignment="1">
      <alignment horizontal="right" vertical="center"/>
    </xf>
    <xf numFmtId="175" fontId="41" fillId="0" borderId="82" xfId="0" applyNumberFormat="1" applyFont="1" applyBorder="1" applyAlignment="1">
      <alignment horizontal="right" vertical="center"/>
    </xf>
    <xf numFmtId="173" fontId="41" fillId="0" borderId="82" xfId="0" applyNumberFormat="1" applyFont="1" applyBorder="1" applyAlignment="1">
      <alignment horizontal="right" vertical="center"/>
    </xf>
    <xf numFmtId="173" fontId="41" fillId="0" borderId="83" xfId="0" applyNumberFormat="1" applyFont="1" applyBorder="1" applyAlignment="1">
      <alignment vertical="center"/>
    </xf>
    <xf numFmtId="173" fontId="41" fillId="0" borderId="82" xfId="0" applyNumberFormat="1" applyFont="1" applyBorder="1" applyAlignment="1">
      <alignment vertical="center"/>
    </xf>
    <xf numFmtId="173" fontId="41" fillId="0" borderId="81" xfId="0" applyNumberFormat="1" applyFont="1" applyBorder="1" applyAlignment="1">
      <alignment vertical="center"/>
    </xf>
    <xf numFmtId="176" fontId="41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87" xfId="0" quotePrefix="1" applyFont="1" applyFill="1" applyBorder="1" applyAlignment="1">
      <alignment horizontal="center" vertical="center" wrapText="1"/>
    </xf>
    <xf numFmtId="0" fontId="42" fillId="11" borderId="87" xfId="0" quotePrefix="1" applyFont="1" applyFill="1" applyBorder="1" applyAlignment="1">
      <alignment horizontal="center" vertical="center" wrapText="1"/>
    </xf>
    <xf numFmtId="0" fontId="42" fillId="11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17" xfId="0" applyNumberFormat="1" applyFont="1" applyFill="1" applyBorder="1"/>
    <xf numFmtId="3" fontId="0" fillId="8" borderId="75" xfId="0" applyNumberFormat="1" applyFont="1" applyFill="1" applyBorder="1"/>
    <xf numFmtId="0" fontId="0" fillId="0" borderId="118" xfId="0" applyNumberFormat="1" applyFont="1" applyBorder="1"/>
    <xf numFmtId="3" fontId="0" fillId="0" borderId="119" xfId="0" applyNumberFormat="1" applyFont="1" applyBorder="1"/>
    <xf numFmtId="0" fontId="0" fillId="8" borderId="118" xfId="0" applyNumberFormat="1" applyFont="1" applyFill="1" applyBorder="1"/>
    <xf numFmtId="3" fontId="0" fillId="8" borderId="119" xfId="0" applyNumberFormat="1" applyFont="1" applyFill="1" applyBorder="1"/>
    <xf numFmtId="0" fontId="59" fillId="9" borderId="118" xfId="0" applyNumberFormat="1" applyFont="1" applyFill="1" applyBorder="1"/>
    <xf numFmtId="3" fontId="59" fillId="9" borderId="119" xfId="0" applyNumberFormat="1" applyFont="1" applyFill="1" applyBorder="1"/>
    <xf numFmtId="0" fontId="41" fillId="3" borderId="29" xfId="0" applyFont="1" applyFill="1" applyBorder="1" applyAlignment="1"/>
    <xf numFmtId="0" fontId="34" fillId="0" borderId="41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46" xfId="81" applyFont="1" applyFill="1" applyBorder="1" applyAlignment="1">
      <alignment horizontal="center"/>
    </xf>
    <xf numFmtId="0" fontId="33" fillId="2" borderId="47" xfId="81" applyFont="1" applyFill="1" applyBorder="1" applyAlignment="1">
      <alignment horizontal="center"/>
    </xf>
    <xf numFmtId="0" fontId="33" fillId="2" borderId="44" xfId="81" applyFont="1" applyFill="1" applyBorder="1" applyAlignment="1">
      <alignment horizontal="center"/>
    </xf>
    <xf numFmtId="0" fontId="33" fillId="2" borderId="72" xfId="81" applyFont="1" applyFill="1" applyBorder="1" applyAlignment="1">
      <alignment horizontal="center"/>
    </xf>
    <xf numFmtId="0" fontId="33" fillId="2" borderId="45" xfId="81" applyFont="1" applyFill="1" applyBorder="1" applyAlignment="1">
      <alignment horizontal="center"/>
    </xf>
    <xf numFmtId="0" fontId="33" fillId="2" borderId="100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98" xfId="81" applyFont="1" applyFill="1" applyBorder="1" applyAlignment="1">
      <alignment horizontal="center"/>
    </xf>
    <xf numFmtId="0" fontId="33" fillId="2" borderId="99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0" xfId="78" applyNumberFormat="1" applyFont="1" applyFill="1" applyBorder="1" applyAlignment="1">
      <alignment horizontal="left"/>
    </xf>
    <xf numFmtId="0" fontId="34" fillId="2" borderId="52" xfId="0" applyFont="1" applyFill="1" applyBorder="1" applyAlignment="1"/>
    <xf numFmtId="3" fontId="30" fillId="2" borderId="54" xfId="78" applyNumberFormat="1" applyFont="1" applyFill="1" applyBorder="1" applyAlignment="1"/>
    <xf numFmtId="0" fontId="41" fillId="2" borderId="60" xfId="0" applyFont="1" applyFill="1" applyBorder="1" applyAlignment="1">
      <alignment horizontal="left"/>
    </xf>
    <xf numFmtId="0" fontId="34" fillId="2" borderId="48" xfId="0" applyFont="1" applyFill="1" applyBorder="1" applyAlignment="1">
      <alignment horizontal="left"/>
    </xf>
    <xf numFmtId="0" fontId="34" fillId="2" borderId="52" xfId="0" applyFont="1" applyFill="1" applyBorder="1" applyAlignment="1">
      <alignment horizontal="left"/>
    </xf>
    <xf numFmtId="0" fontId="41" fillId="2" borderId="54" xfId="0" applyFont="1" applyFill="1" applyBorder="1" applyAlignment="1">
      <alignment horizontal="left"/>
    </xf>
    <xf numFmtId="3" fontId="41" fillId="2" borderId="54" xfId="0" applyNumberFormat="1" applyFont="1" applyFill="1" applyBorder="1" applyAlignment="1">
      <alignment horizontal="left"/>
    </xf>
    <xf numFmtId="3" fontId="34" fillId="2" borderId="49" xfId="0" applyNumberFormat="1" applyFont="1" applyFill="1" applyBorder="1" applyAlignment="1">
      <alignment horizontal="left"/>
    </xf>
    <xf numFmtId="9" fontId="3" fillId="2" borderId="103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2" xfId="80" applyNumberFormat="1" applyFont="1" applyFill="1" applyBorder="1" applyAlignment="1">
      <alignment horizontal="left"/>
    </xf>
    <xf numFmtId="3" fontId="3" fillId="2" borderId="95" xfId="80" applyNumberFormat="1" applyFont="1" applyFill="1" applyBorder="1" applyAlignment="1">
      <alignment horizontal="left"/>
    </xf>
    <xf numFmtId="166" fontId="41" fillId="2" borderId="81" xfId="0" applyNumberFormat="1" applyFont="1" applyFill="1" applyBorder="1" applyAlignment="1">
      <alignment horizontal="center" vertical="center"/>
    </xf>
    <xf numFmtId="0" fontId="34" fillId="0" borderId="112" xfId="0" applyFont="1" applyBorder="1" applyAlignment="1">
      <alignment horizontal="center" vertical="center"/>
    </xf>
    <xf numFmtId="0" fontId="61" fillId="4" borderId="105" xfId="0" applyFont="1" applyFill="1" applyBorder="1" applyAlignment="1">
      <alignment horizontal="center" vertical="center" wrapText="1"/>
    </xf>
    <xf numFmtId="0" fontId="61" fillId="4" borderId="113" xfId="0" applyFont="1" applyFill="1" applyBorder="1" applyAlignment="1">
      <alignment horizontal="center" vertical="center" wrapText="1"/>
    </xf>
    <xf numFmtId="0" fontId="61" fillId="4" borderId="91" xfId="0" applyFont="1" applyFill="1" applyBorder="1" applyAlignment="1">
      <alignment horizontal="center" vertical="center" wrapText="1"/>
    </xf>
    <xf numFmtId="0" fontId="61" fillId="4" borderId="106" xfId="0" applyFont="1" applyFill="1" applyBorder="1" applyAlignment="1">
      <alignment horizontal="center" vertical="center" wrapText="1"/>
    </xf>
    <xf numFmtId="0" fontId="61" fillId="4" borderId="92" xfId="0" applyFont="1" applyFill="1" applyBorder="1" applyAlignment="1">
      <alignment horizontal="center" vertical="center" wrapText="1"/>
    </xf>
    <xf numFmtId="0" fontId="61" fillId="4" borderId="107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05" xfId="0" applyNumberFormat="1" applyFont="1" applyFill="1" applyBorder="1" applyAlignment="1">
      <alignment horizontal="center" vertical="center" wrapText="1"/>
    </xf>
    <xf numFmtId="168" fontId="61" fillId="2" borderId="113" xfId="0" applyNumberFormat="1" applyFont="1" applyFill="1" applyBorder="1" applyAlignment="1">
      <alignment horizontal="center" vertical="center" wrapText="1"/>
    </xf>
    <xf numFmtId="0" fontId="61" fillId="2" borderId="91" xfId="0" applyFont="1" applyFill="1" applyBorder="1" applyAlignment="1">
      <alignment horizontal="center" vertical="center" wrapText="1"/>
    </xf>
    <xf numFmtId="0" fontId="61" fillId="2" borderId="106" xfId="0" applyFont="1" applyFill="1" applyBorder="1" applyAlignment="1">
      <alignment horizontal="center" vertical="center" wrapText="1"/>
    </xf>
    <xf numFmtId="0" fontId="61" fillId="2" borderId="92" xfId="0" applyFont="1" applyFill="1" applyBorder="1" applyAlignment="1">
      <alignment horizontal="center" vertical="center" wrapText="1"/>
    </xf>
    <xf numFmtId="0" fontId="61" fillId="2" borderId="107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61" fillId="4" borderId="91" xfId="0" applyNumberFormat="1" applyFont="1" applyFill="1" applyBorder="1" applyAlignment="1">
      <alignment horizontal="center" vertical="center"/>
    </xf>
    <xf numFmtId="3" fontId="61" fillId="4" borderId="106" xfId="0" applyNumberFormat="1" applyFont="1" applyFill="1" applyBorder="1" applyAlignment="1">
      <alignment horizontal="center" vertical="center"/>
    </xf>
    <xf numFmtId="9" fontId="61" fillId="4" borderId="91" xfId="0" applyNumberFormat="1" applyFont="1" applyFill="1" applyBorder="1" applyAlignment="1">
      <alignment horizontal="center" vertical="center"/>
    </xf>
    <xf numFmtId="9" fontId="61" fillId="4" borderId="106" xfId="0" applyNumberFormat="1" applyFont="1" applyFill="1" applyBorder="1" applyAlignment="1">
      <alignment horizontal="center" vertical="center"/>
    </xf>
    <xf numFmtId="3" fontId="61" fillId="4" borderId="92" xfId="0" applyNumberFormat="1" applyFont="1" applyFill="1" applyBorder="1" applyAlignment="1">
      <alignment horizontal="center" vertical="center" wrapText="1"/>
    </xf>
    <xf numFmtId="3" fontId="61" fillId="4" borderId="107" xfId="0" applyNumberFormat="1" applyFont="1" applyFill="1" applyBorder="1" applyAlignment="1">
      <alignment horizontal="center" vertical="center" wrapText="1"/>
    </xf>
    <xf numFmtId="0" fontId="41" fillId="2" borderId="114" xfId="0" applyFont="1" applyFill="1" applyBorder="1" applyAlignment="1">
      <alignment horizontal="center" vertical="center" wrapText="1"/>
    </xf>
    <xf numFmtId="0" fontId="41" fillId="2" borderId="95" xfId="0" applyFont="1" applyFill="1" applyBorder="1" applyAlignment="1">
      <alignment horizontal="center" vertical="center" wrapText="1"/>
    </xf>
    <xf numFmtId="0" fontId="61" fillId="11" borderId="116" xfId="0" applyFont="1" applyFill="1" applyBorder="1" applyAlignment="1">
      <alignment horizontal="center"/>
    </xf>
    <xf numFmtId="0" fontId="61" fillId="11" borderId="115" xfId="0" applyFont="1" applyFill="1" applyBorder="1" applyAlignment="1">
      <alignment horizontal="center"/>
    </xf>
    <xf numFmtId="0" fontId="61" fillId="11" borderId="89" xfId="0" applyFont="1" applyFill="1" applyBorder="1" applyAlignment="1">
      <alignment horizontal="center"/>
    </xf>
    <xf numFmtId="0" fontId="41" fillId="4" borderId="101" xfId="0" applyFont="1" applyFill="1" applyBorder="1" applyAlignment="1">
      <alignment horizontal="center" vertical="center" wrapText="1"/>
    </xf>
    <xf numFmtId="0" fontId="41" fillId="4" borderId="77" xfId="0" applyFont="1" applyFill="1" applyBorder="1" applyAlignment="1">
      <alignment horizontal="center" vertical="center" wrapText="1"/>
    </xf>
    <xf numFmtId="0" fontId="66" fillId="2" borderId="44" xfId="0" applyFont="1" applyFill="1" applyBorder="1" applyAlignment="1">
      <alignment horizontal="center"/>
    </xf>
    <xf numFmtId="0" fontId="66" fillId="2" borderId="98" xfId="0" applyFont="1" applyFill="1" applyBorder="1" applyAlignment="1">
      <alignment horizontal="center"/>
    </xf>
    <xf numFmtId="0" fontId="66" fillId="2" borderId="84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79" xfId="0" applyFont="1" applyFill="1" applyBorder="1" applyAlignment="1">
      <alignment horizontal="center"/>
    </xf>
    <xf numFmtId="0" fontId="66" fillId="4" borderId="80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79" xfId="0" applyFont="1" applyFill="1" applyBorder="1" applyAlignment="1">
      <alignment horizontal="center"/>
    </xf>
    <xf numFmtId="0" fontId="66" fillId="2" borderId="80" xfId="0" applyFont="1" applyFill="1" applyBorder="1" applyAlignment="1">
      <alignment horizont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58" xfId="0" applyFont="1" applyFill="1" applyBorder="1" applyAlignment="1">
      <alignment vertical="center"/>
    </xf>
    <xf numFmtId="3" fontId="33" fillId="2" borderId="60" xfId="26" applyNumberFormat="1" applyFont="1" applyFill="1" applyBorder="1" applyAlignment="1">
      <alignment horizontal="center"/>
    </xf>
    <xf numFmtId="3" fontId="33" fillId="2" borderId="48" xfId="26" applyNumberFormat="1" applyFont="1" applyFill="1" applyBorder="1" applyAlignment="1">
      <alignment horizontal="center"/>
    </xf>
    <xf numFmtId="3" fontId="33" fillId="2" borderId="96" xfId="26" applyNumberFormat="1" applyFont="1" applyFill="1" applyBorder="1" applyAlignment="1">
      <alignment horizontal="center"/>
    </xf>
    <xf numFmtId="3" fontId="33" fillId="2" borderId="49" xfId="26" applyNumberFormat="1" applyFont="1" applyFill="1" applyBorder="1" applyAlignment="1">
      <alignment horizontal="center"/>
    </xf>
    <xf numFmtId="3" fontId="33" fillId="2" borderId="101" xfId="26" applyNumberFormat="1" applyFont="1" applyFill="1" applyBorder="1" applyAlignment="1">
      <alignment horizontal="center"/>
    </xf>
    <xf numFmtId="3" fontId="33" fillId="2" borderId="77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49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0" xfId="0" quotePrefix="1" applyFont="1" applyFill="1" applyBorder="1" applyAlignment="1">
      <alignment horizontal="center"/>
    </xf>
    <xf numFmtId="0" fontId="33" fillId="2" borderId="49" xfId="0" applyFont="1" applyFill="1" applyBorder="1" applyAlignment="1">
      <alignment horizontal="center"/>
    </xf>
    <xf numFmtId="9" fontId="46" fillId="2" borderId="49" xfId="0" applyNumberFormat="1" applyFont="1" applyFill="1" applyBorder="1" applyAlignment="1">
      <alignment horizontal="center" vertical="top"/>
    </xf>
    <xf numFmtId="0" fontId="33" fillId="2" borderId="76" xfId="0" applyNumberFormat="1" applyFont="1" applyFill="1" applyBorder="1" applyAlignment="1">
      <alignment horizontal="center" vertical="top"/>
    </xf>
    <xf numFmtId="0" fontId="33" fillId="2" borderId="76" xfId="0" applyFont="1" applyFill="1" applyBorder="1" applyAlignment="1">
      <alignment horizontal="center" vertical="top" wrapText="1"/>
    </xf>
    <xf numFmtId="0" fontId="33" fillId="2" borderId="60" xfId="0" quotePrefix="1" applyNumberFormat="1" applyFont="1" applyFill="1" applyBorder="1" applyAlignment="1">
      <alignment horizontal="center"/>
    </xf>
    <xf numFmtId="0" fontId="33" fillId="2" borderId="49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49" xfId="0" applyNumberFormat="1" applyFont="1" applyFill="1" applyBorder="1" applyAlignment="1">
      <alignment horizontal="center" vertical="top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2" borderId="76" xfId="26" applyNumberFormat="1" applyFont="1" applyFill="1" applyBorder="1" applyAlignment="1">
      <alignment horizontal="center" vertical="center"/>
    </xf>
    <xf numFmtId="3" fontId="33" fillId="2" borderId="59" xfId="26" applyNumberFormat="1" applyFont="1" applyFill="1" applyBorder="1" applyAlignment="1">
      <alignment horizontal="center" vertical="center"/>
    </xf>
    <xf numFmtId="3" fontId="33" fillId="0" borderId="48" xfId="26" applyNumberFormat="1" applyFont="1" applyFill="1" applyBorder="1" applyAlignment="1">
      <alignment horizontal="right" vertical="top"/>
    </xf>
    <xf numFmtId="3" fontId="33" fillId="0" borderId="96" xfId="26" applyNumberFormat="1" applyFont="1" applyFill="1" applyBorder="1" applyAlignment="1">
      <alignment horizontal="right" vertical="top"/>
    </xf>
    <xf numFmtId="3" fontId="33" fillId="3" borderId="76" xfId="26" applyNumberFormat="1" applyFont="1" applyFill="1" applyBorder="1" applyAlignment="1">
      <alignment horizontal="center" vertical="center" wrapText="1"/>
    </xf>
    <xf numFmtId="3" fontId="33" fillId="3" borderId="59" xfId="26" applyNumberFormat="1" applyFont="1" applyFill="1" applyBorder="1" applyAlignment="1">
      <alignment horizontal="center" vertical="center" wrapText="1"/>
    </xf>
    <xf numFmtId="3" fontId="33" fillId="3" borderId="60" xfId="26" applyNumberFormat="1" applyFont="1" applyFill="1" applyBorder="1" applyAlignment="1">
      <alignment horizontal="center"/>
    </xf>
    <xf numFmtId="3" fontId="33" fillId="3" borderId="48" xfId="26" applyNumberFormat="1" applyFont="1" applyFill="1" applyBorder="1" applyAlignment="1">
      <alignment horizontal="center"/>
    </xf>
    <xf numFmtId="3" fontId="33" fillId="3" borderId="96" xfId="26" applyNumberFormat="1" applyFont="1" applyFill="1" applyBorder="1" applyAlignment="1">
      <alignment horizontal="center"/>
    </xf>
    <xf numFmtId="3" fontId="33" fillId="3" borderId="49" xfId="26" applyNumberFormat="1" applyFont="1" applyFill="1" applyBorder="1" applyAlignment="1">
      <alignment horizontal="center"/>
    </xf>
    <xf numFmtId="0" fontId="6" fillId="0" borderId="2" xfId="26" applyFont="1" applyFill="1" applyBorder="1" applyAlignment="1">
      <alignment horizontal="left"/>
    </xf>
    <xf numFmtId="0" fontId="34" fillId="0" borderId="48" xfId="0" applyFont="1" applyFill="1" applyBorder="1" applyAlignment="1">
      <alignment horizontal="right" vertical="top"/>
    </xf>
    <xf numFmtId="0" fontId="34" fillId="0" borderId="96" xfId="0" applyFont="1" applyFill="1" applyBorder="1" applyAlignment="1">
      <alignment horizontal="right" vertical="top"/>
    </xf>
    <xf numFmtId="3" fontId="33" fillId="10" borderId="76" xfId="26" applyNumberFormat="1" applyFont="1" applyFill="1" applyBorder="1" applyAlignment="1">
      <alignment horizontal="center" vertical="center" wrapText="1"/>
    </xf>
    <xf numFmtId="3" fontId="33" fillId="10" borderId="59" xfId="26" applyNumberFormat="1" applyFont="1" applyFill="1" applyBorder="1" applyAlignment="1">
      <alignment horizontal="center" vertical="center" wrapText="1"/>
    </xf>
    <xf numFmtId="3" fontId="33" fillId="10" borderId="60" xfId="26" applyNumberFormat="1" applyFont="1" applyFill="1" applyBorder="1" applyAlignment="1">
      <alignment horizontal="center"/>
    </xf>
    <xf numFmtId="3" fontId="33" fillId="10" borderId="48" xfId="26" applyNumberFormat="1" applyFont="1" applyFill="1" applyBorder="1" applyAlignment="1">
      <alignment horizontal="center"/>
    </xf>
    <xf numFmtId="3" fontId="33" fillId="10" borderId="96" xfId="26" applyNumberFormat="1" applyFont="1" applyFill="1" applyBorder="1" applyAlignment="1">
      <alignment horizontal="center"/>
    </xf>
    <xf numFmtId="3" fontId="33" fillId="10" borderId="49" xfId="26" applyNumberFormat="1" applyFont="1" applyFill="1" applyBorder="1" applyAlignment="1">
      <alignment horizontal="center"/>
    </xf>
    <xf numFmtId="3" fontId="33" fillId="4" borderId="76" xfId="26" applyNumberFormat="1" applyFont="1" applyFill="1" applyBorder="1" applyAlignment="1">
      <alignment horizontal="center" vertical="center" wrapText="1"/>
    </xf>
    <xf numFmtId="3" fontId="33" fillId="4" borderId="59" xfId="26" applyNumberFormat="1" applyFont="1" applyFill="1" applyBorder="1" applyAlignment="1">
      <alignment horizontal="center" vertical="center" wrapText="1"/>
    </xf>
    <xf numFmtId="3" fontId="33" fillId="4" borderId="60" xfId="26" applyNumberFormat="1" applyFont="1" applyFill="1" applyBorder="1" applyAlignment="1">
      <alignment horizontal="center"/>
    </xf>
    <xf numFmtId="3" fontId="33" fillId="4" borderId="48" xfId="26" applyNumberFormat="1" applyFont="1" applyFill="1" applyBorder="1" applyAlignment="1">
      <alignment horizontal="center"/>
    </xf>
    <xf numFmtId="3" fontId="33" fillId="4" borderId="96" xfId="26" applyNumberFormat="1" applyFont="1" applyFill="1" applyBorder="1" applyAlignment="1">
      <alignment horizontal="center"/>
    </xf>
    <xf numFmtId="3" fontId="33" fillId="4" borderId="49" xfId="26" applyNumberFormat="1" applyFont="1" applyFill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" fillId="2" borderId="60" xfId="27" applyNumberFormat="1" applyFont="1" applyFill="1" applyBorder="1" applyAlignment="1">
      <alignment horizontal="center"/>
    </xf>
    <xf numFmtId="0" fontId="34" fillId="2" borderId="48" xfId="14" applyFont="1" applyFill="1" applyBorder="1" applyAlignment="1">
      <alignment horizontal="center"/>
    </xf>
    <xf numFmtId="0" fontId="34" fillId="2" borderId="49" xfId="14" applyFont="1" applyFill="1" applyBorder="1" applyAlignment="1">
      <alignment horizontal="center"/>
    </xf>
    <xf numFmtId="3" fontId="3" fillId="2" borderId="60" xfId="24" applyNumberFormat="1" applyFont="1" applyFill="1" applyBorder="1" applyAlignment="1">
      <alignment horizontal="center"/>
    </xf>
    <xf numFmtId="0" fontId="4" fillId="2" borderId="48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0" xfId="26" applyNumberFormat="1" applyFont="1" applyFill="1" applyBorder="1" applyAlignment="1">
      <alignment horizontal="center"/>
    </xf>
    <xf numFmtId="3" fontId="3" fillId="2" borderId="49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0" xfId="26" quotePrefix="1" applyNumberFormat="1" applyFont="1" applyFill="1" applyBorder="1" applyAlignment="1">
      <alignment horizontal="center" vertical="top"/>
    </xf>
    <xf numFmtId="0" fontId="3" fillId="2" borderId="48" xfId="26" applyNumberFormat="1" applyFont="1" applyFill="1" applyBorder="1" applyAlignment="1">
      <alignment horizontal="center" vertical="top"/>
    </xf>
    <xf numFmtId="0" fontId="3" fillId="2" borderId="49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1" xfId="76" applyNumberFormat="1" applyFont="1" applyFill="1" applyBorder="1" applyAlignment="1">
      <alignment horizontal="center" vertical="center"/>
    </xf>
    <xf numFmtId="3" fontId="33" fillId="2" borderId="53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70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0" fontId="60" fillId="0" borderId="0" xfId="1" applyFont="1"/>
    <xf numFmtId="3" fontId="35" fillId="12" borderId="121" xfId="0" applyNumberFormat="1" applyFont="1" applyFill="1" applyBorder="1" applyAlignment="1">
      <alignment horizontal="right" vertical="top"/>
    </xf>
    <xf numFmtId="3" fontId="35" fillId="12" borderId="122" xfId="0" applyNumberFormat="1" applyFont="1" applyFill="1" applyBorder="1" applyAlignment="1">
      <alignment horizontal="right" vertical="top"/>
    </xf>
    <xf numFmtId="177" fontId="35" fillId="12" borderId="123" xfId="0" applyNumberFormat="1" applyFont="1" applyFill="1" applyBorder="1" applyAlignment="1">
      <alignment horizontal="right" vertical="top"/>
    </xf>
    <xf numFmtId="3" fontId="35" fillId="0" borderId="121" xfId="0" applyNumberFormat="1" applyFont="1" applyBorder="1" applyAlignment="1">
      <alignment horizontal="right" vertical="top"/>
    </xf>
    <xf numFmtId="177" fontId="35" fillId="12" borderId="124" xfId="0" applyNumberFormat="1" applyFont="1" applyFill="1" applyBorder="1" applyAlignment="1">
      <alignment horizontal="right" vertical="top"/>
    </xf>
    <xf numFmtId="3" fontId="37" fillId="12" borderId="126" xfId="0" applyNumberFormat="1" applyFont="1" applyFill="1" applyBorder="1" applyAlignment="1">
      <alignment horizontal="right" vertical="top"/>
    </xf>
    <xf numFmtId="3" fontId="37" fillId="12" borderId="127" xfId="0" applyNumberFormat="1" applyFont="1" applyFill="1" applyBorder="1" applyAlignment="1">
      <alignment horizontal="right" vertical="top"/>
    </xf>
    <xf numFmtId="0" fontId="37" fillId="12" borderId="128" xfId="0" applyFont="1" applyFill="1" applyBorder="1" applyAlignment="1">
      <alignment horizontal="right" vertical="top"/>
    </xf>
    <xf numFmtId="3" fontId="37" fillId="0" borderId="126" xfId="0" applyNumberFormat="1" applyFont="1" applyBorder="1" applyAlignment="1">
      <alignment horizontal="right" vertical="top"/>
    </xf>
    <xf numFmtId="0" fontId="37" fillId="12" borderId="129" xfId="0" applyFont="1" applyFill="1" applyBorder="1" applyAlignment="1">
      <alignment horizontal="right" vertical="top"/>
    </xf>
    <xf numFmtId="0" fontId="35" fillId="12" borderId="123" xfId="0" applyFont="1" applyFill="1" applyBorder="1" applyAlignment="1">
      <alignment horizontal="right" vertical="top"/>
    </xf>
    <xf numFmtId="0" fontId="35" fillId="12" borderId="124" xfId="0" applyFont="1" applyFill="1" applyBorder="1" applyAlignment="1">
      <alignment horizontal="right" vertical="top"/>
    </xf>
    <xf numFmtId="177" fontId="37" fillId="12" borderId="128" xfId="0" applyNumberFormat="1" applyFont="1" applyFill="1" applyBorder="1" applyAlignment="1">
      <alignment horizontal="right" vertical="top"/>
    </xf>
    <xf numFmtId="177" fontId="37" fillId="12" borderId="129" xfId="0" applyNumberFormat="1" applyFont="1" applyFill="1" applyBorder="1" applyAlignment="1">
      <alignment horizontal="right" vertical="top"/>
    </xf>
    <xf numFmtId="3" fontId="37" fillId="0" borderId="130" xfId="0" applyNumberFormat="1" applyFont="1" applyBorder="1" applyAlignment="1">
      <alignment horizontal="right" vertical="top"/>
    </xf>
    <xf numFmtId="3" fontId="37" fillId="0" borderId="131" xfId="0" applyNumberFormat="1" applyFont="1" applyBorder="1" applyAlignment="1">
      <alignment horizontal="right" vertical="top"/>
    </xf>
    <xf numFmtId="3" fontId="37" fillId="0" borderId="132" xfId="0" applyNumberFormat="1" applyFont="1" applyBorder="1" applyAlignment="1">
      <alignment horizontal="right" vertical="top"/>
    </xf>
    <xf numFmtId="177" fontId="37" fillId="12" borderId="133" xfId="0" applyNumberFormat="1" applyFont="1" applyFill="1" applyBorder="1" applyAlignment="1">
      <alignment horizontal="right" vertical="top"/>
    </xf>
    <xf numFmtId="0" fontId="39" fillId="13" borderId="120" xfId="0" applyFont="1" applyFill="1" applyBorder="1" applyAlignment="1">
      <alignment vertical="top"/>
    </xf>
    <xf numFmtId="0" fontId="39" fillId="13" borderId="120" xfId="0" applyFont="1" applyFill="1" applyBorder="1" applyAlignment="1">
      <alignment vertical="top" indent="2"/>
    </xf>
    <xf numFmtId="0" fontId="39" fillId="13" borderId="120" xfId="0" applyFont="1" applyFill="1" applyBorder="1" applyAlignment="1">
      <alignment vertical="top" indent="4"/>
    </xf>
    <xf numFmtId="0" fontId="40" fillId="13" borderId="125" xfId="0" applyFont="1" applyFill="1" applyBorder="1" applyAlignment="1">
      <alignment vertical="top" indent="6"/>
    </xf>
    <xf numFmtId="0" fontId="39" fillId="13" borderId="120" xfId="0" applyFont="1" applyFill="1" applyBorder="1" applyAlignment="1">
      <alignment vertical="top" indent="8"/>
    </xf>
    <xf numFmtId="0" fontId="40" fillId="13" borderId="125" xfId="0" applyFont="1" applyFill="1" applyBorder="1" applyAlignment="1">
      <alignment vertical="top" indent="2"/>
    </xf>
    <xf numFmtId="0" fontId="39" fillId="13" borderId="120" xfId="0" applyFont="1" applyFill="1" applyBorder="1" applyAlignment="1">
      <alignment vertical="top" indent="6"/>
    </xf>
    <xf numFmtId="0" fontId="40" fillId="13" borderId="125" xfId="0" applyFont="1" applyFill="1" applyBorder="1" applyAlignment="1">
      <alignment vertical="top" indent="4"/>
    </xf>
    <xf numFmtId="0" fontId="34" fillId="13" borderId="120" xfId="0" applyFont="1" applyFill="1" applyBorder="1"/>
    <xf numFmtId="0" fontId="40" fillId="13" borderId="21" xfId="0" applyFont="1" applyFill="1" applyBorder="1" applyAlignment="1">
      <alignment vertical="top"/>
    </xf>
    <xf numFmtId="0" fontId="31" fillId="0" borderId="0" xfId="0" applyFont="1" applyAlignment="1">
      <alignment horizontal="left"/>
    </xf>
    <xf numFmtId="3" fontId="31" fillId="0" borderId="0" xfId="0" applyNumberFormat="1" applyFont="1" applyAlignment="1">
      <alignment horizontal="left"/>
    </xf>
    <xf numFmtId="3" fontId="31" fillId="0" borderId="0" xfId="0" applyNumberFormat="1" applyFont="1" applyAlignment="1">
      <alignment horizontal="right"/>
    </xf>
    <xf numFmtId="9" fontId="31" fillId="0" borderId="0" xfId="0" applyNumberFormat="1" applyFont="1" applyAlignment="1">
      <alignment horizontal="right"/>
    </xf>
    <xf numFmtId="3" fontId="31" fillId="0" borderId="0" xfId="0" applyNumberFormat="1" applyFont="1"/>
    <xf numFmtId="164" fontId="33" fillId="2" borderId="110" xfId="53" applyNumberFormat="1" applyFont="1" applyFill="1" applyBorder="1" applyAlignment="1">
      <alignment horizontal="left"/>
    </xf>
    <xf numFmtId="164" fontId="33" fillId="2" borderId="134" xfId="53" applyNumberFormat="1" applyFont="1" applyFill="1" applyBorder="1" applyAlignment="1">
      <alignment horizontal="left"/>
    </xf>
    <xf numFmtId="0" fontId="33" fillId="2" borderId="134" xfId="53" applyNumberFormat="1" applyFont="1" applyFill="1" applyBorder="1" applyAlignment="1">
      <alignment horizontal="left"/>
    </xf>
    <xf numFmtId="164" fontId="33" fillId="2" borderId="108" xfId="53" applyNumberFormat="1" applyFont="1" applyFill="1" applyBorder="1" applyAlignment="1">
      <alignment horizontal="left"/>
    </xf>
    <xf numFmtId="3" fontId="33" fillId="2" borderId="108" xfId="53" applyNumberFormat="1" applyFont="1" applyFill="1" applyBorder="1" applyAlignment="1">
      <alignment horizontal="left"/>
    </xf>
    <xf numFmtId="3" fontId="33" fillId="2" borderId="61" xfId="53" applyNumberFormat="1" applyFont="1" applyFill="1" applyBorder="1" applyAlignment="1">
      <alignment horizontal="left"/>
    </xf>
    <xf numFmtId="3" fontId="34" fillId="0" borderId="134" xfId="0" applyNumberFormat="1" applyFont="1" applyFill="1" applyBorder="1"/>
    <xf numFmtId="3" fontId="34" fillId="0" borderId="109" xfId="0" applyNumberFormat="1" applyFont="1" applyFill="1" applyBorder="1"/>
    <xf numFmtId="0" fontId="34" fillId="0" borderId="78" xfId="0" applyFont="1" applyFill="1" applyBorder="1"/>
    <xf numFmtId="0" fontId="34" fillId="0" borderId="79" xfId="0" applyFont="1" applyFill="1" applyBorder="1"/>
    <xf numFmtId="164" fontId="34" fillId="0" borderId="79" xfId="0" applyNumberFormat="1" applyFont="1" applyFill="1" applyBorder="1"/>
    <xf numFmtId="164" fontId="34" fillId="0" borderId="79" xfId="0" applyNumberFormat="1" applyFont="1" applyFill="1" applyBorder="1" applyAlignment="1">
      <alignment horizontal="right"/>
    </xf>
    <xf numFmtId="0" fontId="34" fillId="0" borderId="79" xfId="0" applyNumberFormat="1" applyFont="1" applyFill="1" applyBorder="1"/>
    <xf numFmtId="3" fontId="34" fillId="0" borderId="79" xfId="0" applyNumberFormat="1" applyFont="1" applyFill="1" applyBorder="1"/>
    <xf numFmtId="3" fontId="34" fillId="0" borderId="80" xfId="0" applyNumberFormat="1" applyFont="1" applyFill="1" applyBorder="1"/>
    <xf numFmtId="0" fontId="34" fillId="0" borderId="86" xfId="0" applyFont="1" applyFill="1" applyBorder="1"/>
    <xf numFmtId="0" fontId="34" fillId="0" borderId="87" xfId="0" applyFont="1" applyFill="1" applyBorder="1"/>
    <xf numFmtId="164" fontId="34" fillId="0" borderId="87" xfId="0" applyNumberFormat="1" applyFont="1" applyFill="1" applyBorder="1"/>
    <xf numFmtId="164" fontId="34" fillId="0" borderId="87" xfId="0" applyNumberFormat="1" applyFont="1" applyFill="1" applyBorder="1" applyAlignment="1">
      <alignment horizontal="right"/>
    </xf>
    <xf numFmtId="0" fontId="34" fillId="0" borderId="87" xfId="0" applyNumberFormat="1" applyFont="1" applyFill="1" applyBorder="1"/>
    <xf numFmtId="3" fontId="34" fillId="0" borderId="87" xfId="0" applyNumberFormat="1" applyFont="1" applyFill="1" applyBorder="1"/>
    <xf numFmtId="3" fontId="34" fillId="0" borderId="88" xfId="0" applyNumberFormat="1" applyFont="1" applyFill="1" applyBorder="1"/>
    <xf numFmtId="0" fontId="34" fillId="0" borderId="81" xfId="0" applyFont="1" applyFill="1" applyBorder="1"/>
    <xf numFmtId="0" fontId="34" fillId="0" borderId="82" xfId="0" applyFont="1" applyFill="1" applyBorder="1"/>
    <xf numFmtId="164" fontId="34" fillId="0" borderId="82" xfId="0" applyNumberFormat="1" applyFont="1" applyFill="1" applyBorder="1"/>
    <xf numFmtId="164" fontId="34" fillId="0" borderId="82" xfId="0" applyNumberFormat="1" applyFont="1" applyFill="1" applyBorder="1" applyAlignment="1">
      <alignment horizontal="right"/>
    </xf>
    <xf numFmtId="0" fontId="34" fillId="0" borderId="82" xfId="0" applyNumberFormat="1" applyFont="1" applyFill="1" applyBorder="1"/>
    <xf numFmtId="3" fontId="34" fillId="0" borderId="82" xfId="0" applyNumberFormat="1" applyFont="1" applyFill="1" applyBorder="1"/>
    <xf numFmtId="3" fontId="34" fillId="0" borderId="83" xfId="0" applyNumberFormat="1" applyFont="1" applyFill="1" applyBorder="1"/>
    <xf numFmtId="0" fontId="41" fillId="2" borderId="110" xfId="0" applyFont="1" applyFill="1" applyBorder="1"/>
    <xf numFmtId="3" fontId="41" fillId="2" borderId="111" xfId="0" applyNumberFormat="1" applyFont="1" applyFill="1" applyBorder="1"/>
    <xf numFmtId="9" fontId="41" fillId="2" borderId="74" xfId="0" applyNumberFormat="1" applyFont="1" applyFill="1" applyBorder="1"/>
    <xf numFmtId="3" fontId="41" fillId="2" borderId="61" xfId="0" applyNumberFormat="1" applyFont="1" applyFill="1" applyBorder="1"/>
    <xf numFmtId="9" fontId="34" fillId="0" borderId="134" xfId="0" applyNumberFormat="1" applyFont="1" applyFill="1" applyBorder="1"/>
    <xf numFmtId="9" fontId="34" fillId="0" borderId="79" xfId="0" applyNumberFormat="1" applyFont="1" applyFill="1" applyBorder="1"/>
    <xf numFmtId="9" fontId="34" fillId="0" borderId="82" xfId="0" applyNumberFormat="1" applyFont="1" applyFill="1" applyBorder="1"/>
    <xf numFmtId="0" fontId="34" fillId="0" borderId="22" xfId="0" applyFont="1" applyFill="1" applyBorder="1"/>
    <xf numFmtId="3" fontId="34" fillId="0" borderId="30" xfId="0" applyNumberFormat="1" applyFont="1" applyFill="1" applyBorder="1"/>
    <xf numFmtId="3" fontId="34" fillId="0" borderId="23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110" xfId="0" applyFont="1" applyFill="1" applyBorder="1"/>
    <xf numFmtId="0" fontId="34" fillId="5" borderId="12" xfId="0" applyFont="1" applyFill="1" applyBorder="1" applyAlignment="1">
      <alignment wrapText="1"/>
    </xf>
    <xf numFmtId="9" fontId="34" fillId="0" borderId="87" xfId="0" applyNumberFormat="1" applyFont="1" applyFill="1" applyBorder="1"/>
    <xf numFmtId="3" fontId="34" fillId="0" borderId="91" xfId="0" applyNumberFormat="1" applyFont="1" applyFill="1" applyBorder="1"/>
    <xf numFmtId="9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41" fillId="0" borderId="78" xfId="0" applyFont="1" applyFill="1" applyBorder="1"/>
    <xf numFmtId="0" fontId="41" fillId="0" borderId="86" xfId="0" applyFont="1" applyFill="1" applyBorder="1"/>
    <xf numFmtId="0" fontId="41" fillId="0" borderId="105" xfId="0" applyFont="1" applyFill="1" applyBorder="1"/>
    <xf numFmtId="0" fontId="41" fillId="2" borderId="134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10" xfId="79" applyFont="1" applyFill="1" applyBorder="1" applyAlignment="1">
      <alignment horizontal="left"/>
    </xf>
    <xf numFmtId="3" fontId="3" fillId="2" borderId="91" xfId="80" applyNumberFormat="1" applyFont="1" applyFill="1" applyBorder="1"/>
    <xf numFmtId="3" fontId="3" fillId="2" borderId="92" xfId="80" applyNumberFormat="1" applyFont="1" applyFill="1" applyBorder="1"/>
    <xf numFmtId="9" fontId="3" fillId="2" borderId="137" xfId="80" applyNumberFormat="1" applyFont="1" applyFill="1" applyBorder="1"/>
    <xf numFmtId="9" fontId="3" fillId="2" borderId="91" xfId="80" applyNumberFormat="1" applyFont="1" applyFill="1" applyBorder="1"/>
    <xf numFmtId="9" fontId="3" fillId="2" borderId="92" xfId="80" applyNumberFormat="1" applyFont="1" applyFill="1" applyBorder="1"/>
    <xf numFmtId="9" fontId="34" fillId="0" borderId="80" xfId="0" applyNumberFormat="1" applyFont="1" applyFill="1" applyBorder="1"/>
    <xf numFmtId="9" fontId="34" fillId="0" borderId="83" xfId="0" applyNumberFormat="1" applyFont="1" applyFill="1" applyBorder="1"/>
    <xf numFmtId="0" fontId="41" fillId="0" borderId="100" xfId="0" applyFont="1" applyFill="1" applyBorder="1"/>
    <xf numFmtId="0" fontId="41" fillId="0" borderId="99" xfId="0" applyFont="1" applyFill="1" applyBorder="1" applyAlignment="1">
      <alignment horizontal="left" indent="1"/>
    </xf>
    <xf numFmtId="9" fontId="34" fillId="0" borderId="138" xfId="0" applyNumberFormat="1" applyFont="1" applyFill="1" applyBorder="1"/>
    <xf numFmtId="9" fontId="34" fillId="0" borderId="94" xfId="0" applyNumberFormat="1" applyFont="1" applyFill="1" applyBorder="1"/>
    <xf numFmtId="3" fontId="34" fillId="0" borderId="78" xfId="0" applyNumberFormat="1" applyFont="1" applyFill="1" applyBorder="1"/>
    <xf numFmtId="3" fontId="34" fillId="0" borderId="81" xfId="0" applyNumberFormat="1" applyFont="1" applyFill="1" applyBorder="1"/>
    <xf numFmtId="9" fontId="34" fillId="0" borderId="139" xfId="0" applyNumberFormat="1" applyFont="1" applyFill="1" applyBorder="1"/>
    <xf numFmtId="9" fontId="34" fillId="0" borderId="112" xfId="0" applyNumberFormat="1" applyFont="1" applyFill="1" applyBorder="1"/>
    <xf numFmtId="0" fontId="34" fillId="2" borderId="61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78" xfId="0" applyFont="1" applyFill="1" applyBorder="1" applyAlignment="1">
      <alignment horizontal="left"/>
    </xf>
    <xf numFmtId="169" fontId="66" fillId="4" borderId="79" xfId="0" applyNumberFormat="1" applyFont="1" applyFill="1" applyBorder="1"/>
    <xf numFmtId="9" fontId="66" fillId="4" borderId="79" xfId="0" applyNumberFormat="1" applyFont="1" applyFill="1" applyBorder="1"/>
    <xf numFmtId="9" fontId="66" fillId="4" borderId="80" xfId="0" applyNumberFormat="1" applyFont="1" applyFill="1" applyBorder="1"/>
    <xf numFmtId="169" fontId="0" fillId="0" borderId="82" xfId="0" applyNumberFormat="1" applyBorder="1"/>
    <xf numFmtId="9" fontId="0" fillId="0" borderId="82" xfId="0" applyNumberFormat="1" applyBorder="1"/>
    <xf numFmtId="9" fontId="0" fillId="0" borderId="83" xfId="0" applyNumberFormat="1" applyBorder="1"/>
    <xf numFmtId="0" fontId="66" fillId="0" borderId="81" xfId="0" applyFont="1" applyBorder="1" applyAlignment="1">
      <alignment horizontal="left" indent="1"/>
    </xf>
    <xf numFmtId="0" fontId="67" fillId="0" borderId="0" xfId="0" applyFont="1" applyFill="1"/>
    <xf numFmtId="0" fontId="68" fillId="0" borderId="0" xfId="0" applyFont="1" applyFill="1"/>
    <xf numFmtId="0" fontId="33" fillId="2" borderId="19" xfId="26" applyNumberFormat="1" applyFont="1" applyFill="1" applyBorder="1"/>
    <xf numFmtId="169" fontId="34" fillId="0" borderId="30" xfId="0" applyNumberFormat="1" applyFont="1" applyFill="1" applyBorder="1"/>
    <xf numFmtId="169" fontId="34" fillId="0" borderId="23" xfId="0" applyNumberFormat="1" applyFont="1" applyFill="1" applyBorder="1"/>
    <xf numFmtId="0" fontId="41" fillId="0" borderId="22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4" fillId="0" borderId="30" xfId="0" applyFont="1" applyFill="1" applyBorder="1"/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3" fontId="69" fillId="0" borderId="136" xfId="0" applyNumberFormat="1" applyFont="1" applyBorder="1"/>
    <xf numFmtId="166" fontId="69" fillId="0" borderId="136" xfId="0" applyNumberFormat="1" applyFont="1" applyBorder="1"/>
    <xf numFmtId="166" fontId="69" fillId="0" borderId="140" xfId="0" applyNumberFormat="1" applyFont="1" applyBorder="1"/>
    <xf numFmtId="166" fontId="5" fillId="0" borderId="136" xfId="0" applyNumberFormat="1" applyFont="1" applyBorder="1" applyAlignment="1">
      <alignment horizontal="right"/>
    </xf>
    <xf numFmtId="166" fontId="5" fillId="0" borderId="140" xfId="0" applyNumberFormat="1" applyFont="1" applyBorder="1" applyAlignment="1">
      <alignment horizontal="right"/>
    </xf>
    <xf numFmtId="3" fontId="5" fillId="0" borderId="136" xfId="0" applyNumberFormat="1" applyFont="1" applyBorder="1" applyAlignment="1">
      <alignment horizontal="right"/>
    </xf>
    <xf numFmtId="178" fontId="5" fillId="0" borderId="136" xfId="0" applyNumberFormat="1" applyFont="1" applyBorder="1" applyAlignment="1">
      <alignment horizontal="right"/>
    </xf>
    <xf numFmtId="4" fontId="5" fillId="0" borderId="136" xfId="0" applyNumberFormat="1" applyFont="1" applyBorder="1" applyAlignment="1">
      <alignment horizontal="right"/>
    </xf>
    <xf numFmtId="3" fontId="5" fillId="0" borderId="136" xfId="0" applyNumberFormat="1" applyFont="1" applyBorder="1"/>
    <xf numFmtId="3" fontId="69" fillId="0" borderId="136" xfId="0" applyNumberFormat="1" applyFont="1" applyBorder="1" applyAlignment="1">
      <alignment horizontal="right"/>
    </xf>
    <xf numFmtId="166" fontId="69" fillId="0" borderId="136" xfId="0" applyNumberFormat="1" applyFont="1" applyBorder="1" applyAlignment="1">
      <alignment horizontal="right"/>
    </xf>
    <xf numFmtId="166" fontId="69" fillId="0" borderId="140" xfId="0" applyNumberFormat="1" applyFont="1" applyBorder="1" applyAlignment="1">
      <alignment horizontal="right"/>
    </xf>
    <xf numFmtId="166" fontId="69" fillId="0" borderId="19" xfId="0" applyNumberFormat="1" applyFont="1" applyBorder="1" applyAlignment="1">
      <alignment horizontal="right"/>
    </xf>
    <xf numFmtId="166" fontId="5" fillId="0" borderId="19" xfId="0" applyNumberFormat="1" applyFont="1" applyBorder="1" applyAlignment="1">
      <alignment horizontal="right"/>
    </xf>
    <xf numFmtId="166" fontId="70" fillId="0" borderId="19" xfId="0" applyNumberFormat="1" applyFont="1" applyBorder="1" applyAlignment="1">
      <alignment horizontal="right"/>
    </xf>
    <xf numFmtId="166" fontId="69" fillId="0" borderId="19" xfId="0" applyNumberFormat="1" applyFont="1" applyBorder="1"/>
    <xf numFmtId="166" fontId="70" fillId="0" borderId="140" xfId="0" applyNumberFormat="1" applyFont="1" applyBorder="1" applyAlignment="1">
      <alignment horizontal="right"/>
    </xf>
    <xf numFmtId="3" fontId="34" fillId="0" borderId="136" xfId="0" applyNumberFormat="1" applyFont="1" applyBorder="1" applyAlignment="1">
      <alignment horizontal="right"/>
    </xf>
    <xf numFmtId="0" fontId="5" fillId="0" borderId="136" xfId="0" applyFont="1" applyBorder="1"/>
    <xf numFmtId="3" fontId="34" fillId="0" borderId="136" xfId="0" applyNumberFormat="1" applyFont="1" applyBorder="1"/>
    <xf numFmtId="166" fontId="34" fillId="0" borderId="136" xfId="0" applyNumberFormat="1" applyFont="1" applyBorder="1"/>
    <xf numFmtId="166" fontId="34" fillId="0" borderId="140" xfId="0" applyNumberFormat="1" applyFont="1" applyBorder="1"/>
    <xf numFmtId="166" fontId="34" fillId="0" borderId="19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69" fillId="0" borderId="0" xfId="0" applyNumberFormat="1" applyFont="1" applyBorder="1" applyAlignment="1">
      <alignment horizontal="right"/>
    </xf>
    <xf numFmtId="166" fontId="69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69" fillId="0" borderId="0" xfId="0" applyNumberFormat="1" applyFont="1" applyBorder="1"/>
    <xf numFmtId="166" fontId="69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49" fontId="3" fillId="0" borderId="90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76" xfId="0" applyNumberFormat="1" applyFont="1" applyBorder="1" applyAlignment="1">
      <alignment horizontal="center"/>
    </xf>
    <xf numFmtId="3" fontId="69" fillId="0" borderId="96" xfId="0" applyNumberFormat="1" applyFont="1" applyBorder="1"/>
    <xf numFmtId="166" fontId="69" fillId="0" borderId="96" xfId="0" applyNumberFormat="1" applyFont="1" applyBorder="1"/>
    <xf numFmtId="166" fontId="69" fillId="0" borderId="77" xfId="0" applyNumberFormat="1" applyFont="1" applyBorder="1"/>
    <xf numFmtId="3" fontId="34" fillId="0" borderId="96" xfId="0" applyNumberFormat="1" applyFont="1" applyBorder="1" applyAlignment="1">
      <alignment horizontal="right"/>
    </xf>
    <xf numFmtId="166" fontId="5" fillId="0" borderId="96" xfId="0" applyNumberFormat="1" applyFont="1" applyBorder="1" applyAlignment="1">
      <alignment horizontal="right"/>
    </xf>
    <xf numFmtId="166" fontId="5" fillId="0" borderId="77" xfId="0" applyNumberFormat="1" applyFont="1" applyBorder="1" applyAlignment="1">
      <alignment horizontal="right"/>
    </xf>
    <xf numFmtId="3" fontId="5" fillId="0" borderId="96" xfId="0" applyNumberFormat="1" applyFont="1" applyBorder="1" applyAlignment="1">
      <alignment horizontal="right"/>
    </xf>
    <xf numFmtId="178" fontId="5" fillId="0" borderId="96" xfId="0" applyNumberFormat="1" applyFont="1" applyBorder="1" applyAlignment="1">
      <alignment horizontal="right"/>
    </xf>
    <xf numFmtId="4" fontId="5" fillId="0" borderId="96" xfId="0" applyNumberFormat="1" applyFont="1" applyBorder="1" applyAlignment="1">
      <alignment horizontal="right"/>
    </xf>
    <xf numFmtId="0" fontId="5" fillId="0" borderId="96" xfId="0" applyFont="1" applyBorder="1"/>
    <xf numFmtId="3" fontId="5" fillId="0" borderId="96" xfId="0" applyNumberFormat="1" applyFont="1" applyBorder="1"/>
    <xf numFmtId="49" fontId="3" fillId="0" borderId="59" xfId="0" applyNumberFormat="1" applyFont="1" applyBorder="1" applyAlignment="1">
      <alignment horizontal="center"/>
    </xf>
    <xf numFmtId="3" fontId="69" fillId="0" borderId="2" xfId="0" applyNumberFormat="1" applyFont="1" applyBorder="1"/>
    <xf numFmtId="166" fontId="69" fillId="0" borderId="2" xfId="0" applyNumberFormat="1" applyFont="1" applyBorder="1"/>
    <xf numFmtId="166" fontId="69" fillId="0" borderId="3" xfId="0" applyNumberFormat="1" applyFont="1" applyBorder="1"/>
    <xf numFmtId="3" fontId="34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78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5" fillId="0" borderId="77" xfId="0" applyNumberFormat="1" applyFont="1" applyBorder="1"/>
    <xf numFmtId="3" fontId="5" fillId="0" borderId="140" xfId="0" applyNumberFormat="1" applyFont="1" applyBorder="1"/>
    <xf numFmtId="3" fontId="5" fillId="0" borderId="19" xfId="0" applyNumberFormat="1" applyFont="1" applyBorder="1"/>
    <xf numFmtId="3" fontId="5" fillId="0" borderId="3" xfId="0" applyNumberFormat="1" applyFont="1" applyBorder="1"/>
    <xf numFmtId="3" fontId="11" fillId="0" borderId="90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36" xfId="0" applyNumberFormat="1" applyFont="1" applyBorder="1"/>
    <xf numFmtId="9" fontId="34" fillId="0" borderId="0" xfId="0" applyNumberFormat="1" applyFont="1" applyBorder="1"/>
    <xf numFmtId="3" fontId="34" fillId="0" borderId="135" xfId="0" applyNumberFormat="1" applyFont="1" applyBorder="1"/>
    <xf numFmtId="3" fontId="34" fillId="0" borderId="18" xfId="0" applyNumberFormat="1" applyFont="1" applyBorder="1"/>
    <xf numFmtId="3" fontId="34" fillId="0" borderId="101" xfId="0" applyNumberFormat="1" applyFont="1" applyBorder="1"/>
    <xf numFmtId="3" fontId="34" fillId="0" borderId="96" xfId="0" applyNumberFormat="1" applyFont="1" applyBorder="1"/>
    <xf numFmtId="9" fontId="34" fillId="0" borderId="96" xfId="0" applyNumberFormat="1" applyFont="1" applyBorder="1"/>
    <xf numFmtId="3" fontId="11" fillId="0" borderId="76" xfId="0" applyNumberFormat="1" applyFont="1" applyBorder="1" applyAlignment="1">
      <alignment horizontal="center"/>
    </xf>
    <xf numFmtId="3" fontId="34" fillId="0" borderId="1" xfId="0" applyNumberFormat="1" applyFont="1" applyBorder="1"/>
    <xf numFmtId="3" fontId="34" fillId="0" borderId="2" xfId="0" applyNumberFormat="1" applyFont="1" applyBorder="1"/>
    <xf numFmtId="9" fontId="34" fillId="0" borderId="2" xfId="0" applyNumberFormat="1" applyFont="1" applyBorder="1"/>
    <xf numFmtId="3" fontId="11" fillId="0" borderId="59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169" fontId="34" fillId="0" borderId="79" xfId="0" applyNumberFormat="1" applyFont="1" applyFill="1" applyBorder="1"/>
    <xf numFmtId="169" fontId="34" fillId="0" borderId="87" xfId="0" applyNumberFormat="1" applyFont="1" applyFill="1" applyBorder="1"/>
    <xf numFmtId="9" fontId="34" fillId="0" borderId="88" xfId="0" applyNumberFormat="1" applyFont="1" applyFill="1" applyBorder="1"/>
    <xf numFmtId="169" fontId="34" fillId="0" borderId="82" xfId="0" applyNumberFormat="1" applyFont="1" applyFill="1" applyBorder="1"/>
    <xf numFmtId="0" fontId="41" fillId="0" borderId="81" xfId="0" applyFont="1" applyFill="1" applyBorder="1"/>
    <xf numFmtId="3" fontId="33" fillId="2" borderId="73" xfId="76" applyNumberFormat="1" applyFont="1" applyFill="1" applyBorder="1" applyAlignment="1">
      <alignment horizontal="center" vertical="center"/>
    </xf>
    <xf numFmtId="3" fontId="33" fillId="2" borderId="108" xfId="76" applyNumberFormat="1" applyFont="1" applyFill="1" applyBorder="1" applyAlignment="1">
      <alignment horizontal="center" vertical="center"/>
    </xf>
    <xf numFmtId="0" fontId="31" fillId="0" borderId="78" xfId="76" applyFont="1" applyFill="1" applyBorder="1"/>
    <xf numFmtId="0" fontId="31" fillId="0" borderId="86" xfId="76" applyFont="1" applyFill="1" applyBorder="1"/>
    <xf numFmtId="0" fontId="31" fillId="0" borderId="81" xfId="76" applyFont="1" applyFill="1" applyBorder="1"/>
    <xf numFmtId="0" fontId="31" fillId="0" borderId="139" xfId="76" applyFont="1" applyFill="1" applyBorder="1"/>
    <xf numFmtId="0" fontId="31" fillId="0" borderId="97" xfId="76" applyFont="1" applyFill="1" applyBorder="1"/>
    <xf numFmtId="0" fontId="31" fillId="0" borderId="112" xfId="76" applyFont="1" applyFill="1" applyBorder="1"/>
    <xf numFmtId="0" fontId="33" fillId="2" borderId="91" xfId="76" applyNumberFormat="1" applyFont="1" applyFill="1" applyBorder="1" applyAlignment="1">
      <alignment horizontal="left"/>
    </xf>
    <xf numFmtId="0" fontId="33" fillId="2" borderId="141" xfId="76" applyNumberFormat="1" applyFont="1" applyFill="1" applyBorder="1" applyAlignment="1">
      <alignment horizontal="left"/>
    </xf>
    <xf numFmtId="3" fontId="31" fillId="0" borderId="78" xfId="76" applyNumberFormat="1" applyFont="1" applyFill="1" applyBorder="1"/>
    <xf numFmtId="3" fontId="31" fillId="0" borderId="79" xfId="76" applyNumberFormat="1" applyFont="1" applyFill="1" applyBorder="1"/>
    <xf numFmtId="3" fontId="31" fillId="0" borderId="86" xfId="76" applyNumberFormat="1" applyFont="1" applyFill="1" applyBorder="1"/>
    <xf numFmtId="3" fontId="31" fillId="0" borderId="87" xfId="76" applyNumberFormat="1" applyFont="1" applyFill="1" applyBorder="1"/>
    <xf numFmtId="3" fontId="31" fillId="0" borderId="81" xfId="76" applyNumberFormat="1" applyFont="1" applyFill="1" applyBorder="1"/>
    <xf numFmtId="3" fontId="31" fillId="0" borderId="82" xfId="76" applyNumberFormat="1" applyFont="1" applyFill="1" applyBorder="1"/>
    <xf numFmtId="9" fontId="31" fillId="0" borderId="139" xfId="76" applyNumberFormat="1" applyFont="1" applyFill="1" applyBorder="1"/>
    <xf numFmtId="9" fontId="31" fillId="0" borderId="97" xfId="76" applyNumberFormat="1" applyFont="1" applyFill="1" applyBorder="1"/>
    <xf numFmtId="9" fontId="31" fillId="0" borderId="112" xfId="76" applyNumberFormat="1" applyFont="1" applyFill="1" applyBorder="1"/>
    <xf numFmtId="0" fontId="33" fillId="2" borderId="137" xfId="76" applyNumberFormat="1" applyFont="1" applyFill="1" applyBorder="1" applyAlignment="1">
      <alignment horizontal="left"/>
    </xf>
    <xf numFmtId="0" fontId="33" fillId="2" borderId="92" xfId="76" applyNumberFormat="1" applyFont="1" applyFill="1" applyBorder="1" applyAlignment="1">
      <alignment horizontal="left"/>
    </xf>
    <xf numFmtId="3" fontId="31" fillId="0" borderId="80" xfId="76" applyNumberFormat="1" applyFont="1" applyFill="1" applyBorder="1"/>
    <xf numFmtId="3" fontId="31" fillId="0" borderId="88" xfId="76" applyNumberFormat="1" applyFont="1" applyFill="1" applyBorder="1"/>
    <xf numFmtId="3" fontId="31" fillId="0" borderId="83" xfId="76" applyNumberFormat="1" applyFont="1" applyFill="1" applyBorder="1"/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1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11"/>
      <tableStyleElement type="headerRow" dxfId="110"/>
      <tableStyleElement type="totalRow" dxfId="109"/>
      <tableStyleElement type="firstColumn" dxfId="108"/>
      <tableStyleElement type="lastColumn" dxfId="107"/>
      <tableStyleElement type="firstRowStripe" dxfId="106"/>
      <tableStyleElement type="firstColumnStripe" dxfId="105"/>
    </tableStyle>
    <tableStyle name="TableStyleMedium2 2" pivot="0" count="7" xr9:uid="{00000000-0011-0000-FFFF-FFFF01000000}">
      <tableStyleElement type="wholeTable" dxfId="104"/>
      <tableStyleElement type="headerRow" dxfId="103"/>
      <tableStyleElement type="totalRow" dxfId="102"/>
      <tableStyleElement type="firstColumn" dxfId="101"/>
      <tableStyleElement type="lastColumn" dxfId="100"/>
      <tableStyleElement type="firstRowStripe" dxfId="99"/>
      <tableStyleElement type="firstColumnStripe" dxfId="98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2.6658553768763065E-2</c:v>
                </c:pt>
                <c:pt idx="1">
                  <c:v>4.842621468241811E-2</c:v>
                </c:pt>
                <c:pt idx="2">
                  <c:v>0.11576559489089418</c:v>
                </c:pt>
                <c:pt idx="3">
                  <c:v>0.11534478285583047</c:v>
                </c:pt>
                <c:pt idx="4">
                  <c:v>0.15320292341367653</c:v>
                </c:pt>
                <c:pt idx="5">
                  <c:v>0.14729946374425196</c:v>
                </c:pt>
                <c:pt idx="6">
                  <c:v>0.17213229646456976</c:v>
                </c:pt>
                <c:pt idx="7">
                  <c:v>0.16833499670626426</c:v>
                </c:pt>
                <c:pt idx="8">
                  <c:v>0.1711267799080452</c:v>
                </c:pt>
                <c:pt idx="9">
                  <c:v>0.16452633968830974</c:v>
                </c:pt>
                <c:pt idx="10">
                  <c:v>0.16555690887064628</c:v>
                </c:pt>
                <c:pt idx="11">
                  <c:v>0.1637923805822559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0.24139113030498388</c:v>
                </c:pt>
                <c:pt idx="1">
                  <c:v>0.24139113030498388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ALOS!$E$33:$E$44</c:f>
              <c:numCache>
                <c:formatCode>0%</c:formatCode>
                <c:ptCount val="12"/>
                <c:pt idx="0">
                  <c:v>0.6875</c:v>
                </c:pt>
                <c:pt idx="1">
                  <c:v>0.88429752066115708</c:v>
                </c:pt>
                <c:pt idx="2">
                  <c:v>0.76156583629893237</c:v>
                </c:pt>
                <c:pt idx="3">
                  <c:v>0.84365781710914456</c:v>
                </c:pt>
                <c:pt idx="4">
                  <c:v>0.81208053691275173</c:v>
                </c:pt>
                <c:pt idx="5">
                  <c:v>0.7890625</c:v>
                </c:pt>
                <c:pt idx="6">
                  <c:v>0.72056737588652486</c:v>
                </c:pt>
                <c:pt idx="7">
                  <c:v>0.7273954116059379</c:v>
                </c:pt>
                <c:pt idx="8">
                  <c:v>0.76820388349514568</c:v>
                </c:pt>
                <c:pt idx="9">
                  <c:v>0.74494382022471906</c:v>
                </c:pt>
                <c:pt idx="10">
                  <c:v>0.75653082549634276</c:v>
                </c:pt>
                <c:pt idx="11">
                  <c:v>0.73621323529411764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>
          <a:extLst>
            <a:ext uri="{FF2B5EF4-FFF2-40B4-BE49-F238E27FC236}">
              <a16:creationId xmlns:a16="http://schemas.microsoft.com/office/drawing/2014/main" id="{00000000-0008-0000-2B00-000056BC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8" totalsRowShown="0" headerRowDxfId="97" tableBorderDxfId="96">
  <autoFilter ref="A7:S18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5"/>
    <tableColumn id="2" xr3:uid="{00000000-0010-0000-0000-000002000000}" name="popis" dataDxfId="94"/>
    <tableColumn id="3" xr3:uid="{00000000-0010-0000-0000-000003000000}" name="01 uv_sk" dataDxfId="9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9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9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8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7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47" totalsRowShown="0">
  <autoFilter ref="C3:S147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2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233" bestFit="1" customWidth="1"/>
    <col min="2" max="2" width="102.28515625" style="233" bestFit="1" customWidth="1"/>
    <col min="3" max="3" width="16.140625" style="51" hidden="1" customWidth="1"/>
    <col min="4" max="16384" width="8.85546875" style="233"/>
  </cols>
  <sheetData>
    <row r="1" spans="1:3" ht="18.600000000000001" customHeight="1" thickBot="1" x14ac:dyDescent="0.35">
      <c r="A1" s="492" t="s">
        <v>118</v>
      </c>
      <c r="B1" s="492"/>
    </row>
    <row r="2" spans="1:3" ht="14.45" customHeight="1" thickBot="1" x14ac:dyDescent="0.25">
      <c r="A2" s="666" t="s">
        <v>305</v>
      </c>
      <c r="B2" s="50"/>
    </row>
    <row r="3" spans="1:3" ht="14.45" customHeight="1" thickBot="1" x14ac:dyDescent="0.25">
      <c r="A3" s="488" t="s">
        <v>165</v>
      </c>
      <c r="B3" s="489"/>
    </row>
    <row r="4" spans="1:3" ht="14.45" customHeight="1" x14ac:dyDescent="0.2">
      <c r="A4" s="248" t="str">
        <f t="shared" ref="A4:A8" si="0">HYPERLINK("#'"&amp;C4&amp;"'!A1",C4)</f>
        <v>Motivace</v>
      </c>
      <c r="B4" s="164" t="s">
        <v>135</v>
      </c>
      <c r="C4" s="51" t="s">
        <v>136</v>
      </c>
    </row>
    <row r="5" spans="1:3" ht="14.45" customHeight="1" x14ac:dyDescent="0.2">
      <c r="A5" s="249" t="str">
        <f t="shared" si="0"/>
        <v>HI</v>
      </c>
      <c r="B5" s="165" t="s">
        <v>159</v>
      </c>
      <c r="C5" s="51" t="s">
        <v>122</v>
      </c>
    </row>
    <row r="6" spans="1:3" ht="14.45" customHeight="1" x14ac:dyDescent="0.2">
      <c r="A6" s="250" t="str">
        <f t="shared" si="0"/>
        <v>HI Graf</v>
      </c>
      <c r="B6" s="166" t="s">
        <v>114</v>
      </c>
      <c r="C6" s="51" t="s">
        <v>123</v>
      </c>
    </row>
    <row r="7" spans="1:3" ht="14.45" customHeight="1" x14ac:dyDescent="0.2">
      <c r="A7" s="250" t="str">
        <f t="shared" si="0"/>
        <v>Man Tab</v>
      </c>
      <c r="B7" s="166" t="s">
        <v>307</v>
      </c>
      <c r="C7" s="51" t="s">
        <v>124</v>
      </c>
    </row>
    <row r="8" spans="1:3" ht="14.45" customHeight="1" thickBot="1" x14ac:dyDescent="0.25">
      <c r="A8" s="251" t="str">
        <f t="shared" si="0"/>
        <v>HV</v>
      </c>
      <c r="B8" s="167" t="s">
        <v>48</v>
      </c>
      <c r="C8" s="51" t="s">
        <v>53</v>
      </c>
    </row>
    <row r="9" spans="1:3" ht="14.45" customHeight="1" thickBot="1" x14ac:dyDescent="0.25">
      <c r="A9" s="168"/>
      <c r="B9" s="168"/>
    </row>
    <row r="10" spans="1:3" ht="14.45" customHeight="1" thickBot="1" x14ac:dyDescent="0.25">
      <c r="A10" s="490" t="s">
        <v>119</v>
      </c>
      <c r="B10" s="489"/>
    </row>
    <row r="11" spans="1:3" ht="14.45" customHeight="1" x14ac:dyDescent="0.2">
      <c r="A11" s="252" t="str">
        <f t="shared" ref="A11" si="1">HYPERLINK("#'"&amp;C11&amp;"'!A1",C11)</f>
        <v>Léky Žádanky</v>
      </c>
      <c r="B11" s="165" t="s">
        <v>160</v>
      </c>
      <c r="C11" s="51" t="s">
        <v>125</v>
      </c>
    </row>
    <row r="12" spans="1:3" ht="14.45" customHeight="1" x14ac:dyDescent="0.2">
      <c r="A12" s="250" t="str">
        <f t="shared" ref="A12:A18" si="2">HYPERLINK("#'"&amp;C12&amp;"'!A1",C12)</f>
        <v>LŽ Detail</v>
      </c>
      <c r="B12" s="166" t="s">
        <v>182</v>
      </c>
      <c r="C12" s="51" t="s">
        <v>126</v>
      </c>
    </row>
    <row r="13" spans="1:3" ht="28.9" customHeight="1" x14ac:dyDescent="0.2">
      <c r="A13" s="250" t="str">
        <f t="shared" si="2"/>
        <v>LŽ PL</v>
      </c>
      <c r="B13" s="744" t="s">
        <v>183</v>
      </c>
      <c r="C13" s="51" t="s">
        <v>169</v>
      </c>
    </row>
    <row r="14" spans="1:3" ht="14.45" customHeight="1" x14ac:dyDescent="0.2">
      <c r="A14" s="250" t="str">
        <f t="shared" si="2"/>
        <v>LŽ PL Detail</v>
      </c>
      <c r="B14" s="166" t="s">
        <v>2035</v>
      </c>
      <c r="C14" s="51" t="s">
        <v>170</v>
      </c>
    </row>
    <row r="15" spans="1:3" ht="14.45" customHeight="1" x14ac:dyDescent="0.2">
      <c r="A15" s="250" t="str">
        <f t="shared" si="2"/>
        <v>LŽ Statim</v>
      </c>
      <c r="B15" s="378" t="s">
        <v>218</v>
      </c>
      <c r="C15" s="51" t="s">
        <v>228</v>
      </c>
    </row>
    <row r="16" spans="1:3" ht="14.45" customHeight="1" x14ac:dyDescent="0.2">
      <c r="A16" s="252" t="str">
        <f t="shared" ref="A16" si="3">HYPERLINK("#'"&amp;C16&amp;"'!A1",C16)</f>
        <v>Materiál Žádanky</v>
      </c>
      <c r="B16" s="166" t="s">
        <v>161</v>
      </c>
      <c r="C16" s="51" t="s">
        <v>127</v>
      </c>
    </row>
    <row r="17" spans="1:3" ht="14.45" customHeight="1" x14ac:dyDescent="0.2">
      <c r="A17" s="250" t="str">
        <f t="shared" si="2"/>
        <v>MŽ Detail</v>
      </c>
      <c r="B17" s="166" t="s">
        <v>2996</v>
      </c>
      <c r="C17" s="51" t="s">
        <v>128</v>
      </c>
    </row>
    <row r="18" spans="1:3" ht="14.45" customHeight="1" thickBot="1" x14ac:dyDescent="0.25">
      <c r="A18" s="252" t="str">
        <f t="shared" si="2"/>
        <v>Osobní náklady</v>
      </c>
      <c r="B18" s="166" t="s">
        <v>116</v>
      </c>
      <c r="C18" s="51" t="s">
        <v>129</v>
      </c>
    </row>
    <row r="19" spans="1:3" ht="14.45" customHeight="1" thickBot="1" x14ac:dyDescent="0.25">
      <c r="A19" s="169"/>
      <c r="B19" s="169"/>
    </row>
    <row r="20" spans="1:3" ht="14.45" customHeight="1" thickBot="1" x14ac:dyDescent="0.25">
      <c r="A20" s="491" t="s">
        <v>120</v>
      </c>
      <c r="B20" s="489"/>
    </row>
    <row r="21" spans="1:3" ht="14.45" customHeight="1" x14ac:dyDescent="0.2">
      <c r="A21" s="253" t="str">
        <f t="shared" ref="A21:A32" si="4">HYPERLINK("#'"&amp;C21&amp;"'!A1",C21)</f>
        <v>ZV Vykáz.-A</v>
      </c>
      <c r="B21" s="165" t="s">
        <v>3022</v>
      </c>
      <c r="C21" s="51" t="s">
        <v>137</v>
      </c>
    </row>
    <row r="22" spans="1:3" ht="14.45" customHeight="1" x14ac:dyDescent="0.2">
      <c r="A22" s="250" t="str">
        <f t="shared" ref="A22" si="5">HYPERLINK("#'"&amp;C22&amp;"'!A1",C22)</f>
        <v>ZV Vykáz.-A Lékaři</v>
      </c>
      <c r="B22" s="166" t="s">
        <v>3027</v>
      </c>
      <c r="C22" s="51" t="s">
        <v>231</v>
      </c>
    </row>
    <row r="23" spans="1:3" ht="14.45" customHeight="1" x14ac:dyDescent="0.2">
      <c r="A23" s="250" t="str">
        <f t="shared" si="4"/>
        <v>ZV Vykáz.-A Detail</v>
      </c>
      <c r="B23" s="166" t="s">
        <v>3032</v>
      </c>
      <c r="C23" s="51" t="s">
        <v>138</v>
      </c>
    </row>
    <row r="24" spans="1:3" ht="14.45" customHeight="1" x14ac:dyDescent="0.25">
      <c r="A24" s="412" t="str">
        <f>HYPERLINK("#'"&amp;C24&amp;"'!A1",C24)</f>
        <v>ZV Vykáz.-A Det.Lék.</v>
      </c>
      <c r="B24" s="166" t="s">
        <v>3033</v>
      </c>
      <c r="C24" s="51" t="s">
        <v>239</v>
      </c>
    </row>
    <row r="25" spans="1:3" ht="14.45" customHeight="1" x14ac:dyDescent="0.2">
      <c r="A25" s="250" t="str">
        <f t="shared" si="4"/>
        <v>ZV Vykáz.-H</v>
      </c>
      <c r="B25" s="166" t="s">
        <v>141</v>
      </c>
      <c r="C25" s="51" t="s">
        <v>139</v>
      </c>
    </row>
    <row r="26" spans="1:3" ht="14.45" customHeight="1" x14ac:dyDescent="0.2">
      <c r="A26" s="250" t="str">
        <f t="shared" si="4"/>
        <v>ZV Vykáz.-H Detail</v>
      </c>
      <c r="B26" s="166" t="s">
        <v>4132</v>
      </c>
      <c r="C26" s="51" t="s">
        <v>140</v>
      </c>
    </row>
    <row r="27" spans="1:3" ht="14.45" customHeight="1" x14ac:dyDescent="0.2">
      <c r="A27" s="253" t="str">
        <f t="shared" si="4"/>
        <v>CaseMix</v>
      </c>
      <c r="B27" s="166" t="s">
        <v>121</v>
      </c>
      <c r="C27" s="51" t="s">
        <v>130</v>
      </c>
    </row>
    <row r="28" spans="1:3" ht="14.45" customHeight="1" x14ac:dyDescent="0.3">
      <c r="A28" s="250" t="str">
        <f t="shared" si="4"/>
        <v>ALOS</v>
      </c>
      <c r="B28" s="166" t="s">
        <v>101</v>
      </c>
      <c r="C28" s="51" t="s">
        <v>72</v>
      </c>
    </row>
    <row r="29" spans="1:3" ht="14.45" customHeight="1" x14ac:dyDescent="0.2">
      <c r="A29" s="250" t="str">
        <f t="shared" si="4"/>
        <v>Total</v>
      </c>
      <c r="B29" s="166" t="s">
        <v>4305</v>
      </c>
      <c r="C29" s="51" t="s">
        <v>131</v>
      </c>
    </row>
    <row r="30" spans="1:3" ht="14.45" customHeight="1" x14ac:dyDescent="0.2">
      <c r="A30" s="250" t="str">
        <f t="shared" si="4"/>
        <v>ZV Vyžád.</v>
      </c>
      <c r="B30" s="166" t="s">
        <v>142</v>
      </c>
      <c r="C30" s="51" t="s">
        <v>134</v>
      </c>
    </row>
    <row r="31" spans="1:3" ht="14.45" customHeight="1" x14ac:dyDescent="0.2">
      <c r="A31" s="250" t="str">
        <f t="shared" si="4"/>
        <v>ZV Vyžád. Detail</v>
      </c>
      <c r="B31" s="166" t="s">
        <v>5181</v>
      </c>
      <c r="C31" s="51" t="s">
        <v>133</v>
      </c>
    </row>
    <row r="32" spans="1:3" ht="14.45" customHeight="1" x14ac:dyDescent="0.2">
      <c r="A32" s="250" t="str">
        <f t="shared" si="4"/>
        <v>OD TISS</v>
      </c>
      <c r="B32" s="166" t="s">
        <v>164</v>
      </c>
      <c r="C32" s="51" t="s">
        <v>132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 xr:uid="{13C1B09F-125C-4145-B13E-0EE63C07B438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16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233" bestFit="1" customWidth="1"/>
    <col min="2" max="2" width="8.85546875" style="233" bestFit="1" customWidth="1"/>
    <col min="3" max="3" width="7" style="233" bestFit="1" customWidth="1"/>
    <col min="4" max="4" width="53.42578125" style="233" bestFit="1" customWidth="1"/>
    <col min="5" max="5" width="28.42578125" style="233" bestFit="1" customWidth="1"/>
    <col min="6" max="6" width="6.7109375" style="313" customWidth="1"/>
    <col min="7" max="7" width="10" style="313" customWidth="1"/>
    <col min="8" max="8" width="6.7109375" style="316" bestFit="1" customWidth="1"/>
    <col min="9" max="9" width="6.7109375" style="313" customWidth="1"/>
    <col min="10" max="10" width="10.85546875" style="313" customWidth="1"/>
    <col min="11" max="11" width="6.7109375" style="316" bestFit="1" customWidth="1"/>
    <col min="12" max="12" width="6.7109375" style="313" customWidth="1"/>
    <col min="13" max="13" width="10.85546875" style="313" customWidth="1"/>
    <col min="14" max="16384" width="8.85546875" style="233"/>
  </cols>
  <sheetData>
    <row r="1" spans="1:13" ht="18.600000000000001" customHeight="1" thickBot="1" x14ac:dyDescent="0.35">
      <c r="A1" s="531" t="s">
        <v>2035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492"/>
      <c r="M1" s="492"/>
    </row>
    <row r="2" spans="1:13" ht="14.45" customHeight="1" thickBot="1" x14ac:dyDescent="0.25">
      <c r="A2" s="666" t="s">
        <v>305</v>
      </c>
      <c r="B2" s="312"/>
      <c r="C2" s="312"/>
      <c r="D2" s="312"/>
      <c r="E2" s="312"/>
      <c r="F2" s="320"/>
      <c r="G2" s="320"/>
      <c r="H2" s="321"/>
      <c r="I2" s="320"/>
      <c r="J2" s="320"/>
      <c r="K2" s="321"/>
      <c r="L2" s="320"/>
    </row>
    <row r="3" spans="1:13" ht="14.45" customHeight="1" thickBot="1" x14ac:dyDescent="0.25">
      <c r="E3" s="96" t="s">
        <v>143</v>
      </c>
      <c r="F3" s="47">
        <f>SUBTOTAL(9,F6:F1048576)</f>
        <v>862.4</v>
      </c>
      <c r="G3" s="47">
        <f>SUBTOTAL(9,G6:G1048576)</f>
        <v>341732.52565042867</v>
      </c>
      <c r="H3" s="48">
        <f>IF(M3=0,0,G3/M3)</f>
        <v>0.15847375029572067</v>
      </c>
      <c r="I3" s="47">
        <f>SUBTOTAL(9,I6:I1048576)</f>
        <v>7195.9500000000016</v>
      </c>
      <c r="J3" s="47">
        <f>SUBTOTAL(9,J6:J1048576)</f>
        <v>1814665.7738328446</v>
      </c>
      <c r="K3" s="48">
        <f>IF(M3=0,0,J3/M3)</f>
        <v>0.84152624970428003</v>
      </c>
      <c r="L3" s="47">
        <f>SUBTOTAL(9,L6:L1048576)</f>
        <v>8058.3500000000022</v>
      </c>
      <c r="M3" s="49">
        <f>SUBTOTAL(9,M6:M1048576)</f>
        <v>2156398.2994832718</v>
      </c>
    </row>
    <row r="4" spans="1:13" ht="14.45" customHeight="1" thickBot="1" x14ac:dyDescent="0.25">
      <c r="A4" s="45"/>
      <c r="B4" s="45"/>
      <c r="C4" s="45"/>
      <c r="D4" s="45"/>
      <c r="E4" s="46"/>
      <c r="F4" s="535" t="s">
        <v>145</v>
      </c>
      <c r="G4" s="536"/>
      <c r="H4" s="537"/>
      <c r="I4" s="538" t="s">
        <v>144</v>
      </c>
      <c r="J4" s="536"/>
      <c r="K4" s="537"/>
      <c r="L4" s="539" t="s">
        <v>3</v>
      </c>
      <c r="M4" s="540"/>
    </row>
    <row r="5" spans="1:13" ht="14.45" customHeight="1" thickBot="1" x14ac:dyDescent="0.25">
      <c r="A5" s="729" t="s">
        <v>146</v>
      </c>
      <c r="B5" s="752" t="s">
        <v>147</v>
      </c>
      <c r="C5" s="752" t="s">
        <v>76</v>
      </c>
      <c r="D5" s="752" t="s">
        <v>148</v>
      </c>
      <c r="E5" s="752" t="s">
        <v>149</v>
      </c>
      <c r="F5" s="753" t="s">
        <v>15</v>
      </c>
      <c r="G5" s="753" t="s">
        <v>14</v>
      </c>
      <c r="H5" s="731" t="s">
        <v>150</v>
      </c>
      <c r="I5" s="730" t="s">
        <v>15</v>
      </c>
      <c r="J5" s="753" t="s">
        <v>14</v>
      </c>
      <c r="K5" s="731" t="s">
        <v>150</v>
      </c>
      <c r="L5" s="730" t="s">
        <v>15</v>
      </c>
      <c r="M5" s="754" t="s">
        <v>14</v>
      </c>
    </row>
    <row r="6" spans="1:13" ht="14.45" customHeight="1" x14ac:dyDescent="0.2">
      <c r="A6" s="708" t="s">
        <v>531</v>
      </c>
      <c r="B6" s="709" t="s">
        <v>1642</v>
      </c>
      <c r="C6" s="709" t="s">
        <v>1643</v>
      </c>
      <c r="D6" s="709" t="s">
        <v>704</v>
      </c>
      <c r="E6" s="709" t="s">
        <v>1644</v>
      </c>
      <c r="F6" s="713"/>
      <c r="G6" s="713"/>
      <c r="H6" s="734">
        <v>0</v>
      </c>
      <c r="I6" s="713">
        <v>2760</v>
      </c>
      <c r="J6" s="713">
        <v>45759.7</v>
      </c>
      <c r="K6" s="734">
        <v>1</v>
      </c>
      <c r="L6" s="713">
        <v>2760</v>
      </c>
      <c r="M6" s="714">
        <v>45759.7</v>
      </c>
    </row>
    <row r="7" spans="1:13" ht="14.45" customHeight="1" x14ac:dyDescent="0.2">
      <c r="A7" s="715" t="s">
        <v>531</v>
      </c>
      <c r="B7" s="716" t="s">
        <v>1642</v>
      </c>
      <c r="C7" s="716" t="s">
        <v>1645</v>
      </c>
      <c r="D7" s="716" t="s">
        <v>700</v>
      </c>
      <c r="E7" s="716" t="s">
        <v>1646</v>
      </c>
      <c r="F7" s="720"/>
      <c r="G7" s="720"/>
      <c r="H7" s="745">
        <v>0</v>
      </c>
      <c r="I7" s="720">
        <v>2</v>
      </c>
      <c r="J7" s="720">
        <v>85.759999999999991</v>
      </c>
      <c r="K7" s="745">
        <v>1</v>
      </c>
      <c r="L7" s="720">
        <v>2</v>
      </c>
      <c r="M7" s="721">
        <v>85.759999999999991</v>
      </c>
    </row>
    <row r="8" spans="1:13" ht="14.45" customHeight="1" x14ac:dyDescent="0.2">
      <c r="A8" s="715" t="s">
        <v>531</v>
      </c>
      <c r="B8" s="716" t="s">
        <v>1647</v>
      </c>
      <c r="C8" s="716" t="s">
        <v>1648</v>
      </c>
      <c r="D8" s="716" t="s">
        <v>953</v>
      </c>
      <c r="E8" s="716" t="s">
        <v>1649</v>
      </c>
      <c r="F8" s="720"/>
      <c r="G8" s="720"/>
      <c r="H8" s="745">
        <v>0</v>
      </c>
      <c r="I8" s="720">
        <v>1</v>
      </c>
      <c r="J8" s="720">
        <v>312.47000000000003</v>
      </c>
      <c r="K8" s="745">
        <v>1</v>
      </c>
      <c r="L8" s="720">
        <v>1</v>
      </c>
      <c r="M8" s="721">
        <v>312.47000000000003</v>
      </c>
    </row>
    <row r="9" spans="1:13" ht="14.45" customHeight="1" x14ac:dyDescent="0.2">
      <c r="A9" s="715" t="s">
        <v>531</v>
      </c>
      <c r="B9" s="716" t="s">
        <v>1650</v>
      </c>
      <c r="C9" s="716" t="s">
        <v>1651</v>
      </c>
      <c r="D9" s="716" t="s">
        <v>1652</v>
      </c>
      <c r="E9" s="716" t="s">
        <v>1653</v>
      </c>
      <c r="F9" s="720"/>
      <c r="G9" s="720"/>
      <c r="H9" s="745">
        <v>0</v>
      </c>
      <c r="I9" s="720">
        <v>24</v>
      </c>
      <c r="J9" s="720">
        <v>6573.5999999999995</v>
      </c>
      <c r="K9" s="745">
        <v>1</v>
      </c>
      <c r="L9" s="720">
        <v>24</v>
      </c>
      <c r="M9" s="721">
        <v>6573.5999999999995</v>
      </c>
    </row>
    <row r="10" spans="1:13" ht="14.45" customHeight="1" x14ac:dyDescent="0.2">
      <c r="A10" s="715" t="s">
        <v>531</v>
      </c>
      <c r="B10" s="716" t="s">
        <v>1654</v>
      </c>
      <c r="C10" s="716" t="s">
        <v>1655</v>
      </c>
      <c r="D10" s="716" t="s">
        <v>1656</v>
      </c>
      <c r="E10" s="716" t="s">
        <v>1657</v>
      </c>
      <c r="F10" s="720"/>
      <c r="G10" s="720"/>
      <c r="H10" s="745">
        <v>0</v>
      </c>
      <c r="I10" s="720">
        <v>79</v>
      </c>
      <c r="J10" s="720">
        <v>32080.71</v>
      </c>
      <c r="K10" s="745">
        <v>1</v>
      </c>
      <c r="L10" s="720">
        <v>79</v>
      </c>
      <c r="M10" s="721">
        <v>32080.71</v>
      </c>
    </row>
    <row r="11" spans="1:13" ht="14.45" customHeight="1" x14ac:dyDescent="0.2">
      <c r="A11" s="715" t="s">
        <v>531</v>
      </c>
      <c r="B11" s="716" t="s">
        <v>1658</v>
      </c>
      <c r="C11" s="716" t="s">
        <v>1659</v>
      </c>
      <c r="D11" s="716" t="s">
        <v>1660</v>
      </c>
      <c r="E11" s="716" t="s">
        <v>1661</v>
      </c>
      <c r="F11" s="720"/>
      <c r="G11" s="720"/>
      <c r="H11" s="745">
        <v>0</v>
      </c>
      <c r="I11" s="720">
        <v>2</v>
      </c>
      <c r="J11" s="720">
        <v>140.78</v>
      </c>
      <c r="K11" s="745">
        <v>1</v>
      </c>
      <c r="L11" s="720">
        <v>2</v>
      </c>
      <c r="M11" s="721">
        <v>140.78</v>
      </c>
    </row>
    <row r="12" spans="1:13" ht="14.45" customHeight="1" x14ac:dyDescent="0.2">
      <c r="A12" s="715" t="s">
        <v>531</v>
      </c>
      <c r="B12" s="716" t="s">
        <v>1658</v>
      </c>
      <c r="C12" s="716" t="s">
        <v>1662</v>
      </c>
      <c r="D12" s="716" t="s">
        <v>1663</v>
      </c>
      <c r="E12" s="716" t="s">
        <v>1664</v>
      </c>
      <c r="F12" s="720">
        <v>1</v>
      </c>
      <c r="G12" s="720">
        <v>63.350000000000016</v>
      </c>
      <c r="H12" s="745">
        <v>1</v>
      </c>
      <c r="I12" s="720"/>
      <c r="J12" s="720"/>
      <c r="K12" s="745">
        <v>0</v>
      </c>
      <c r="L12" s="720">
        <v>1</v>
      </c>
      <c r="M12" s="721">
        <v>63.350000000000016</v>
      </c>
    </row>
    <row r="13" spans="1:13" ht="14.45" customHeight="1" x14ac:dyDescent="0.2">
      <c r="A13" s="715" t="s">
        <v>531</v>
      </c>
      <c r="B13" s="716" t="s">
        <v>1665</v>
      </c>
      <c r="C13" s="716" t="s">
        <v>1666</v>
      </c>
      <c r="D13" s="716" t="s">
        <v>1667</v>
      </c>
      <c r="E13" s="716" t="s">
        <v>1668</v>
      </c>
      <c r="F13" s="720"/>
      <c r="G13" s="720"/>
      <c r="H13" s="745">
        <v>0</v>
      </c>
      <c r="I13" s="720">
        <v>1</v>
      </c>
      <c r="J13" s="720">
        <v>137.41000000000003</v>
      </c>
      <c r="K13" s="745">
        <v>1</v>
      </c>
      <c r="L13" s="720">
        <v>1</v>
      </c>
      <c r="M13" s="721">
        <v>137.41000000000003</v>
      </c>
    </row>
    <row r="14" spans="1:13" ht="14.45" customHeight="1" x14ac:dyDescent="0.2">
      <c r="A14" s="715" t="s">
        <v>531</v>
      </c>
      <c r="B14" s="716" t="s">
        <v>1665</v>
      </c>
      <c r="C14" s="716" t="s">
        <v>1669</v>
      </c>
      <c r="D14" s="716" t="s">
        <v>1670</v>
      </c>
      <c r="E14" s="716" t="s">
        <v>1671</v>
      </c>
      <c r="F14" s="720">
        <v>1</v>
      </c>
      <c r="G14" s="720">
        <v>137.53</v>
      </c>
      <c r="H14" s="745">
        <v>1</v>
      </c>
      <c r="I14" s="720"/>
      <c r="J14" s="720"/>
      <c r="K14" s="745">
        <v>0</v>
      </c>
      <c r="L14" s="720">
        <v>1</v>
      </c>
      <c r="M14" s="721">
        <v>137.53</v>
      </c>
    </row>
    <row r="15" spans="1:13" ht="14.45" customHeight="1" x14ac:dyDescent="0.2">
      <c r="A15" s="715" t="s">
        <v>531</v>
      </c>
      <c r="B15" s="716" t="s">
        <v>1672</v>
      </c>
      <c r="C15" s="716" t="s">
        <v>1673</v>
      </c>
      <c r="D15" s="716" t="s">
        <v>839</v>
      </c>
      <c r="E15" s="716" t="s">
        <v>1674</v>
      </c>
      <c r="F15" s="720"/>
      <c r="G15" s="720"/>
      <c r="H15" s="745">
        <v>0</v>
      </c>
      <c r="I15" s="720">
        <v>38</v>
      </c>
      <c r="J15" s="720">
        <v>125400</v>
      </c>
      <c r="K15" s="745">
        <v>1</v>
      </c>
      <c r="L15" s="720">
        <v>38</v>
      </c>
      <c r="M15" s="721">
        <v>125400</v>
      </c>
    </row>
    <row r="16" spans="1:13" ht="14.45" customHeight="1" x14ac:dyDescent="0.2">
      <c r="A16" s="715" t="s">
        <v>531</v>
      </c>
      <c r="B16" s="716" t="s">
        <v>1672</v>
      </c>
      <c r="C16" s="716" t="s">
        <v>1675</v>
      </c>
      <c r="D16" s="716" t="s">
        <v>841</v>
      </c>
      <c r="E16" s="716" t="s">
        <v>1676</v>
      </c>
      <c r="F16" s="720"/>
      <c r="G16" s="720"/>
      <c r="H16" s="745">
        <v>0</v>
      </c>
      <c r="I16" s="720">
        <v>5</v>
      </c>
      <c r="J16" s="720">
        <v>3153.3</v>
      </c>
      <c r="K16" s="745">
        <v>1</v>
      </c>
      <c r="L16" s="720">
        <v>5</v>
      </c>
      <c r="M16" s="721">
        <v>3153.3</v>
      </c>
    </row>
    <row r="17" spans="1:13" ht="14.45" customHeight="1" x14ac:dyDescent="0.2">
      <c r="A17" s="715" t="s">
        <v>531</v>
      </c>
      <c r="B17" s="716" t="s">
        <v>1677</v>
      </c>
      <c r="C17" s="716" t="s">
        <v>1678</v>
      </c>
      <c r="D17" s="716" t="s">
        <v>1679</v>
      </c>
      <c r="E17" s="716" t="s">
        <v>1680</v>
      </c>
      <c r="F17" s="720"/>
      <c r="G17" s="720"/>
      <c r="H17" s="745">
        <v>0</v>
      </c>
      <c r="I17" s="720">
        <v>1</v>
      </c>
      <c r="J17" s="720">
        <v>252.70999999999995</v>
      </c>
      <c r="K17" s="745">
        <v>1</v>
      </c>
      <c r="L17" s="720">
        <v>1</v>
      </c>
      <c r="M17" s="721">
        <v>252.70999999999995</v>
      </c>
    </row>
    <row r="18" spans="1:13" ht="14.45" customHeight="1" x14ac:dyDescent="0.2">
      <c r="A18" s="715" t="s">
        <v>531</v>
      </c>
      <c r="B18" s="716" t="s">
        <v>1677</v>
      </c>
      <c r="C18" s="716" t="s">
        <v>1681</v>
      </c>
      <c r="D18" s="716" t="s">
        <v>1679</v>
      </c>
      <c r="E18" s="716" t="s">
        <v>1682</v>
      </c>
      <c r="F18" s="720"/>
      <c r="G18" s="720"/>
      <c r="H18" s="745">
        <v>0</v>
      </c>
      <c r="I18" s="720">
        <v>1</v>
      </c>
      <c r="J18" s="720">
        <v>500.32000000000011</v>
      </c>
      <c r="K18" s="745">
        <v>1</v>
      </c>
      <c r="L18" s="720">
        <v>1</v>
      </c>
      <c r="M18" s="721">
        <v>500.32000000000011</v>
      </c>
    </row>
    <row r="19" spans="1:13" ht="14.45" customHeight="1" x14ac:dyDescent="0.2">
      <c r="A19" s="715" t="s">
        <v>531</v>
      </c>
      <c r="B19" s="716" t="s">
        <v>1683</v>
      </c>
      <c r="C19" s="716" t="s">
        <v>1684</v>
      </c>
      <c r="D19" s="716" t="s">
        <v>706</v>
      </c>
      <c r="E19" s="716" t="s">
        <v>1685</v>
      </c>
      <c r="F19" s="720"/>
      <c r="G19" s="720"/>
      <c r="H19" s="745">
        <v>0</v>
      </c>
      <c r="I19" s="720">
        <v>176</v>
      </c>
      <c r="J19" s="720">
        <v>22591.760000000006</v>
      </c>
      <c r="K19" s="745">
        <v>1</v>
      </c>
      <c r="L19" s="720">
        <v>176</v>
      </c>
      <c r="M19" s="721">
        <v>22591.760000000006</v>
      </c>
    </row>
    <row r="20" spans="1:13" ht="14.45" customHeight="1" x14ac:dyDescent="0.2">
      <c r="A20" s="715" t="s">
        <v>531</v>
      </c>
      <c r="B20" s="716" t="s">
        <v>1683</v>
      </c>
      <c r="C20" s="716" t="s">
        <v>1686</v>
      </c>
      <c r="D20" s="716" t="s">
        <v>706</v>
      </c>
      <c r="E20" s="716" t="s">
        <v>1687</v>
      </c>
      <c r="F20" s="720"/>
      <c r="G20" s="720"/>
      <c r="H20" s="745">
        <v>0</v>
      </c>
      <c r="I20" s="720">
        <v>1</v>
      </c>
      <c r="J20" s="720">
        <v>89.31</v>
      </c>
      <c r="K20" s="745">
        <v>1</v>
      </c>
      <c r="L20" s="720">
        <v>1</v>
      </c>
      <c r="M20" s="721">
        <v>89.31</v>
      </c>
    </row>
    <row r="21" spans="1:13" ht="14.45" customHeight="1" x14ac:dyDescent="0.2">
      <c r="A21" s="715" t="s">
        <v>531</v>
      </c>
      <c r="B21" s="716" t="s">
        <v>1688</v>
      </c>
      <c r="C21" s="716" t="s">
        <v>1689</v>
      </c>
      <c r="D21" s="716" t="s">
        <v>1082</v>
      </c>
      <c r="E21" s="716" t="s">
        <v>1690</v>
      </c>
      <c r="F21" s="720"/>
      <c r="G21" s="720"/>
      <c r="H21" s="745">
        <v>0</v>
      </c>
      <c r="I21" s="720">
        <v>699</v>
      </c>
      <c r="J21" s="720">
        <v>436641.37000000005</v>
      </c>
      <c r="K21" s="745">
        <v>1</v>
      </c>
      <c r="L21" s="720">
        <v>699</v>
      </c>
      <c r="M21" s="721">
        <v>436641.37000000005</v>
      </c>
    </row>
    <row r="22" spans="1:13" ht="14.45" customHeight="1" x14ac:dyDescent="0.2">
      <c r="A22" s="715" t="s">
        <v>531</v>
      </c>
      <c r="B22" s="716" t="s">
        <v>1691</v>
      </c>
      <c r="C22" s="716" t="s">
        <v>1692</v>
      </c>
      <c r="D22" s="716" t="s">
        <v>1693</v>
      </c>
      <c r="E22" s="716" t="s">
        <v>1694</v>
      </c>
      <c r="F22" s="720"/>
      <c r="G22" s="720"/>
      <c r="H22" s="745">
        <v>0</v>
      </c>
      <c r="I22" s="720">
        <v>1</v>
      </c>
      <c r="J22" s="720">
        <v>97.65000000000002</v>
      </c>
      <c r="K22" s="745">
        <v>1</v>
      </c>
      <c r="L22" s="720">
        <v>1</v>
      </c>
      <c r="M22" s="721">
        <v>97.65000000000002</v>
      </c>
    </row>
    <row r="23" spans="1:13" ht="14.45" customHeight="1" x14ac:dyDescent="0.2">
      <c r="A23" s="715" t="s">
        <v>531</v>
      </c>
      <c r="B23" s="716" t="s">
        <v>1695</v>
      </c>
      <c r="C23" s="716" t="s">
        <v>1696</v>
      </c>
      <c r="D23" s="716" t="s">
        <v>1697</v>
      </c>
      <c r="E23" s="716" t="s">
        <v>1698</v>
      </c>
      <c r="F23" s="720"/>
      <c r="G23" s="720"/>
      <c r="H23" s="745">
        <v>0</v>
      </c>
      <c r="I23" s="720">
        <v>3</v>
      </c>
      <c r="J23" s="720">
        <v>311.95</v>
      </c>
      <c r="K23" s="745">
        <v>1</v>
      </c>
      <c r="L23" s="720">
        <v>3</v>
      </c>
      <c r="M23" s="721">
        <v>311.95</v>
      </c>
    </row>
    <row r="24" spans="1:13" ht="14.45" customHeight="1" x14ac:dyDescent="0.2">
      <c r="A24" s="715" t="s">
        <v>531</v>
      </c>
      <c r="B24" s="716" t="s">
        <v>1699</v>
      </c>
      <c r="C24" s="716" t="s">
        <v>1700</v>
      </c>
      <c r="D24" s="716" t="s">
        <v>1701</v>
      </c>
      <c r="E24" s="716" t="s">
        <v>1702</v>
      </c>
      <c r="F24" s="720"/>
      <c r="G24" s="720"/>
      <c r="H24" s="745">
        <v>0</v>
      </c>
      <c r="I24" s="720">
        <v>1</v>
      </c>
      <c r="J24" s="720">
        <v>288.94</v>
      </c>
      <c r="K24" s="745">
        <v>1</v>
      </c>
      <c r="L24" s="720">
        <v>1</v>
      </c>
      <c r="M24" s="721">
        <v>288.94</v>
      </c>
    </row>
    <row r="25" spans="1:13" ht="14.45" customHeight="1" x14ac:dyDescent="0.2">
      <c r="A25" s="715" t="s">
        <v>531</v>
      </c>
      <c r="B25" s="716" t="s">
        <v>1703</v>
      </c>
      <c r="C25" s="716" t="s">
        <v>1704</v>
      </c>
      <c r="D25" s="716" t="s">
        <v>848</v>
      </c>
      <c r="E25" s="716" t="s">
        <v>849</v>
      </c>
      <c r="F25" s="720"/>
      <c r="G25" s="720"/>
      <c r="H25" s="745">
        <v>0</v>
      </c>
      <c r="I25" s="720">
        <v>658</v>
      </c>
      <c r="J25" s="720">
        <v>26549.54</v>
      </c>
      <c r="K25" s="745">
        <v>1</v>
      </c>
      <c r="L25" s="720">
        <v>658</v>
      </c>
      <c r="M25" s="721">
        <v>26549.54</v>
      </c>
    </row>
    <row r="26" spans="1:13" ht="14.45" customHeight="1" x14ac:dyDescent="0.2">
      <c r="A26" s="715" t="s">
        <v>531</v>
      </c>
      <c r="B26" s="716" t="s">
        <v>1703</v>
      </c>
      <c r="C26" s="716" t="s">
        <v>1705</v>
      </c>
      <c r="D26" s="716" t="s">
        <v>846</v>
      </c>
      <c r="E26" s="716" t="s">
        <v>847</v>
      </c>
      <c r="F26" s="720">
        <v>1</v>
      </c>
      <c r="G26" s="720">
        <v>50.19</v>
      </c>
      <c r="H26" s="745">
        <v>1</v>
      </c>
      <c r="I26" s="720"/>
      <c r="J26" s="720"/>
      <c r="K26" s="745">
        <v>0</v>
      </c>
      <c r="L26" s="720">
        <v>1</v>
      </c>
      <c r="M26" s="721">
        <v>50.19</v>
      </c>
    </row>
    <row r="27" spans="1:13" ht="14.45" customHeight="1" x14ac:dyDescent="0.2">
      <c r="A27" s="715" t="s">
        <v>531</v>
      </c>
      <c r="B27" s="716" t="s">
        <v>1703</v>
      </c>
      <c r="C27" s="716" t="s">
        <v>1706</v>
      </c>
      <c r="D27" s="716" t="s">
        <v>843</v>
      </c>
      <c r="E27" s="716" t="s">
        <v>1707</v>
      </c>
      <c r="F27" s="720"/>
      <c r="G27" s="720"/>
      <c r="H27" s="745">
        <v>0</v>
      </c>
      <c r="I27" s="720">
        <v>1</v>
      </c>
      <c r="J27" s="720">
        <v>31.609999999999996</v>
      </c>
      <c r="K27" s="745">
        <v>1</v>
      </c>
      <c r="L27" s="720">
        <v>1</v>
      </c>
      <c r="M27" s="721">
        <v>31.609999999999996</v>
      </c>
    </row>
    <row r="28" spans="1:13" ht="14.45" customHeight="1" x14ac:dyDescent="0.2">
      <c r="A28" s="715" t="s">
        <v>531</v>
      </c>
      <c r="B28" s="716" t="s">
        <v>1703</v>
      </c>
      <c r="C28" s="716" t="s">
        <v>1708</v>
      </c>
      <c r="D28" s="716" t="s">
        <v>843</v>
      </c>
      <c r="E28" s="716" t="s">
        <v>1709</v>
      </c>
      <c r="F28" s="720"/>
      <c r="G28" s="720"/>
      <c r="H28" s="745">
        <v>0</v>
      </c>
      <c r="I28" s="720">
        <v>1</v>
      </c>
      <c r="J28" s="720">
        <v>58.710000000000015</v>
      </c>
      <c r="K28" s="745">
        <v>1</v>
      </c>
      <c r="L28" s="720">
        <v>1</v>
      </c>
      <c r="M28" s="721">
        <v>58.710000000000015</v>
      </c>
    </row>
    <row r="29" spans="1:13" ht="14.45" customHeight="1" x14ac:dyDescent="0.2">
      <c r="A29" s="715" t="s">
        <v>531</v>
      </c>
      <c r="B29" s="716" t="s">
        <v>1710</v>
      </c>
      <c r="C29" s="716" t="s">
        <v>1711</v>
      </c>
      <c r="D29" s="716" t="s">
        <v>1712</v>
      </c>
      <c r="E29" s="716" t="s">
        <v>1713</v>
      </c>
      <c r="F29" s="720">
        <v>50</v>
      </c>
      <c r="G29" s="720">
        <v>3711.2000000000007</v>
      </c>
      <c r="H29" s="745">
        <v>1</v>
      </c>
      <c r="I29" s="720"/>
      <c r="J29" s="720"/>
      <c r="K29" s="745">
        <v>0</v>
      </c>
      <c r="L29" s="720">
        <v>50</v>
      </c>
      <c r="M29" s="721">
        <v>3711.2000000000007</v>
      </c>
    </row>
    <row r="30" spans="1:13" ht="14.45" customHeight="1" x14ac:dyDescent="0.2">
      <c r="A30" s="715" t="s">
        <v>531</v>
      </c>
      <c r="B30" s="716" t="s">
        <v>1714</v>
      </c>
      <c r="C30" s="716" t="s">
        <v>1715</v>
      </c>
      <c r="D30" s="716" t="s">
        <v>1286</v>
      </c>
      <c r="E30" s="716" t="s">
        <v>575</v>
      </c>
      <c r="F30" s="720"/>
      <c r="G30" s="720"/>
      <c r="H30" s="745">
        <v>0</v>
      </c>
      <c r="I30" s="720">
        <v>2</v>
      </c>
      <c r="J30" s="720">
        <v>150.24</v>
      </c>
      <c r="K30" s="745">
        <v>1</v>
      </c>
      <c r="L30" s="720">
        <v>2</v>
      </c>
      <c r="M30" s="721">
        <v>150.24</v>
      </c>
    </row>
    <row r="31" spans="1:13" ht="14.45" customHeight="1" x14ac:dyDescent="0.2">
      <c r="A31" s="715" t="s">
        <v>531</v>
      </c>
      <c r="B31" s="716" t="s">
        <v>1714</v>
      </c>
      <c r="C31" s="716" t="s">
        <v>1716</v>
      </c>
      <c r="D31" s="716" t="s">
        <v>629</v>
      </c>
      <c r="E31" s="716" t="s">
        <v>630</v>
      </c>
      <c r="F31" s="720"/>
      <c r="G31" s="720"/>
      <c r="H31" s="745">
        <v>0</v>
      </c>
      <c r="I31" s="720">
        <v>1</v>
      </c>
      <c r="J31" s="720">
        <v>93.78</v>
      </c>
      <c r="K31" s="745">
        <v>1</v>
      </c>
      <c r="L31" s="720">
        <v>1</v>
      </c>
      <c r="M31" s="721">
        <v>93.78</v>
      </c>
    </row>
    <row r="32" spans="1:13" ht="14.45" customHeight="1" x14ac:dyDescent="0.2">
      <c r="A32" s="715" t="s">
        <v>531</v>
      </c>
      <c r="B32" s="716" t="s">
        <v>1714</v>
      </c>
      <c r="C32" s="716" t="s">
        <v>1717</v>
      </c>
      <c r="D32" s="716" t="s">
        <v>627</v>
      </c>
      <c r="E32" s="716" t="s">
        <v>628</v>
      </c>
      <c r="F32" s="720"/>
      <c r="G32" s="720"/>
      <c r="H32" s="745">
        <v>0</v>
      </c>
      <c r="I32" s="720">
        <v>45</v>
      </c>
      <c r="J32" s="720">
        <v>4006.0699999999997</v>
      </c>
      <c r="K32" s="745">
        <v>1</v>
      </c>
      <c r="L32" s="720">
        <v>45</v>
      </c>
      <c r="M32" s="721">
        <v>4006.0699999999997</v>
      </c>
    </row>
    <row r="33" spans="1:13" ht="14.45" customHeight="1" x14ac:dyDescent="0.2">
      <c r="A33" s="715" t="s">
        <v>531</v>
      </c>
      <c r="B33" s="716" t="s">
        <v>1714</v>
      </c>
      <c r="C33" s="716" t="s">
        <v>1718</v>
      </c>
      <c r="D33" s="716" t="s">
        <v>629</v>
      </c>
      <c r="E33" s="716" t="s">
        <v>1719</v>
      </c>
      <c r="F33" s="720"/>
      <c r="G33" s="720"/>
      <c r="H33" s="745">
        <v>0</v>
      </c>
      <c r="I33" s="720">
        <v>1</v>
      </c>
      <c r="J33" s="720">
        <v>101.74</v>
      </c>
      <c r="K33" s="745">
        <v>1</v>
      </c>
      <c r="L33" s="720">
        <v>1</v>
      </c>
      <c r="M33" s="721">
        <v>101.74</v>
      </c>
    </row>
    <row r="34" spans="1:13" ht="14.45" customHeight="1" x14ac:dyDescent="0.2">
      <c r="A34" s="715" t="s">
        <v>531</v>
      </c>
      <c r="B34" s="716" t="s">
        <v>1714</v>
      </c>
      <c r="C34" s="716" t="s">
        <v>1720</v>
      </c>
      <c r="D34" s="716" t="s">
        <v>627</v>
      </c>
      <c r="E34" s="716" t="s">
        <v>628</v>
      </c>
      <c r="F34" s="720"/>
      <c r="G34" s="720"/>
      <c r="H34" s="745">
        <v>0</v>
      </c>
      <c r="I34" s="720">
        <v>6</v>
      </c>
      <c r="J34" s="720">
        <v>530.70000000000005</v>
      </c>
      <c r="K34" s="745">
        <v>1</v>
      </c>
      <c r="L34" s="720">
        <v>6</v>
      </c>
      <c r="M34" s="721">
        <v>530.70000000000005</v>
      </c>
    </row>
    <row r="35" spans="1:13" ht="14.45" customHeight="1" x14ac:dyDescent="0.2">
      <c r="A35" s="715" t="s">
        <v>531</v>
      </c>
      <c r="B35" s="716" t="s">
        <v>1721</v>
      </c>
      <c r="C35" s="716" t="s">
        <v>1722</v>
      </c>
      <c r="D35" s="716" t="s">
        <v>1723</v>
      </c>
      <c r="E35" s="716" t="s">
        <v>1724</v>
      </c>
      <c r="F35" s="720"/>
      <c r="G35" s="720"/>
      <c r="H35" s="745">
        <v>0</v>
      </c>
      <c r="I35" s="720">
        <v>1</v>
      </c>
      <c r="J35" s="720">
        <v>99.469999999999985</v>
      </c>
      <c r="K35" s="745">
        <v>1</v>
      </c>
      <c r="L35" s="720">
        <v>1</v>
      </c>
      <c r="M35" s="721">
        <v>99.469999999999985</v>
      </c>
    </row>
    <row r="36" spans="1:13" ht="14.45" customHeight="1" x14ac:dyDescent="0.2">
      <c r="A36" s="715" t="s">
        <v>531</v>
      </c>
      <c r="B36" s="716" t="s">
        <v>1725</v>
      </c>
      <c r="C36" s="716" t="s">
        <v>1726</v>
      </c>
      <c r="D36" s="716" t="s">
        <v>1727</v>
      </c>
      <c r="E36" s="716" t="s">
        <v>638</v>
      </c>
      <c r="F36" s="720">
        <v>6</v>
      </c>
      <c r="G36" s="720">
        <v>156.09000000000003</v>
      </c>
      <c r="H36" s="745">
        <v>1</v>
      </c>
      <c r="I36" s="720"/>
      <c r="J36" s="720"/>
      <c r="K36" s="745">
        <v>0</v>
      </c>
      <c r="L36" s="720">
        <v>6</v>
      </c>
      <c r="M36" s="721">
        <v>156.09000000000003</v>
      </c>
    </row>
    <row r="37" spans="1:13" ht="14.45" customHeight="1" x14ac:dyDescent="0.2">
      <c r="A37" s="715" t="s">
        <v>531</v>
      </c>
      <c r="B37" s="716" t="s">
        <v>1725</v>
      </c>
      <c r="C37" s="716" t="s">
        <v>1728</v>
      </c>
      <c r="D37" s="716" t="s">
        <v>1727</v>
      </c>
      <c r="E37" s="716" t="s">
        <v>1729</v>
      </c>
      <c r="F37" s="720">
        <v>3</v>
      </c>
      <c r="G37" s="720">
        <v>260.54000000000002</v>
      </c>
      <c r="H37" s="745">
        <v>1</v>
      </c>
      <c r="I37" s="720"/>
      <c r="J37" s="720"/>
      <c r="K37" s="745">
        <v>0</v>
      </c>
      <c r="L37" s="720">
        <v>3</v>
      </c>
      <c r="M37" s="721">
        <v>260.54000000000002</v>
      </c>
    </row>
    <row r="38" spans="1:13" ht="14.45" customHeight="1" x14ac:dyDescent="0.2">
      <c r="A38" s="715" t="s">
        <v>531</v>
      </c>
      <c r="B38" s="716" t="s">
        <v>1725</v>
      </c>
      <c r="C38" s="716" t="s">
        <v>1730</v>
      </c>
      <c r="D38" s="716" t="s">
        <v>1727</v>
      </c>
      <c r="E38" s="716" t="s">
        <v>1729</v>
      </c>
      <c r="F38" s="720"/>
      <c r="G38" s="720"/>
      <c r="H38" s="745">
        <v>0</v>
      </c>
      <c r="I38" s="720">
        <v>1</v>
      </c>
      <c r="J38" s="720">
        <v>87.05</v>
      </c>
      <c r="K38" s="745">
        <v>1</v>
      </c>
      <c r="L38" s="720">
        <v>1</v>
      </c>
      <c r="M38" s="721">
        <v>87.05</v>
      </c>
    </row>
    <row r="39" spans="1:13" ht="14.45" customHeight="1" x14ac:dyDescent="0.2">
      <c r="A39" s="715" t="s">
        <v>531</v>
      </c>
      <c r="B39" s="716" t="s">
        <v>1731</v>
      </c>
      <c r="C39" s="716" t="s">
        <v>1732</v>
      </c>
      <c r="D39" s="716" t="s">
        <v>1067</v>
      </c>
      <c r="E39" s="716" t="s">
        <v>1733</v>
      </c>
      <c r="F39" s="720">
        <v>1</v>
      </c>
      <c r="G39" s="720">
        <v>93.52000000000001</v>
      </c>
      <c r="H39" s="745">
        <v>1</v>
      </c>
      <c r="I39" s="720"/>
      <c r="J39" s="720"/>
      <c r="K39" s="745">
        <v>0</v>
      </c>
      <c r="L39" s="720">
        <v>1</v>
      </c>
      <c r="M39" s="721">
        <v>93.52000000000001</v>
      </c>
    </row>
    <row r="40" spans="1:13" ht="14.45" customHeight="1" x14ac:dyDescent="0.2">
      <c r="A40" s="715" t="s">
        <v>531</v>
      </c>
      <c r="B40" s="716" t="s">
        <v>1734</v>
      </c>
      <c r="C40" s="716" t="s">
        <v>1735</v>
      </c>
      <c r="D40" s="716" t="s">
        <v>1736</v>
      </c>
      <c r="E40" s="716" t="s">
        <v>1737</v>
      </c>
      <c r="F40" s="720"/>
      <c r="G40" s="720"/>
      <c r="H40" s="745">
        <v>0</v>
      </c>
      <c r="I40" s="720">
        <v>2</v>
      </c>
      <c r="J40" s="720">
        <v>42.42</v>
      </c>
      <c r="K40" s="745">
        <v>1</v>
      </c>
      <c r="L40" s="720">
        <v>2</v>
      </c>
      <c r="M40" s="721">
        <v>42.42</v>
      </c>
    </row>
    <row r="41" spans="1:13" ht="14.45" customHeight="1" x14ac:dyDescent="0.2">
      <c r="A41" s="715" t="s">
        <v>531</v>
      </c>
      <c r="B41" s="716" t="s">
        <v>1734</v>
      </c>
      <c r="C41" s="716" t="s">
        <v>1738</v>
      </c>
      <c r="D41" s="716" t="s">
        <v>1736</v>
      </c>
      <c r="E41" s="716" t="s">
        <v>1739</v>
      </c>
      <c r="F41" s="720"/>
      <c r="G41" s="720"/>
      <c r="H41" s="745">
        <v>0</v>
      </c>
      <c r="I41" s="720">
        <v>1</v>
      </c>
      <c r="J41" s="720">
        <v>8.66</v>
      </c>
      <c r="K41" s="745">
        <v>1</v>
      </c>
      <c r="L41" s="720">
        <v>1</v>
      </c>
      <c r="M41" s="721">
        <v>8.66</v>
      </c>
    </row>
    <row r="42" spans="1:13" ht="14.45" customHeight="1" x14ac:dyDescent="0.2">
      <c r="A42" s="715" t="s">
        <v>531</v>
      </c>
      <c r="B42" s="716" t="s">
        <v>1740</v>
      </c>
      <c r="C42" s="716" t="s">
        <v>1741</v>
      </c>
      <c r="D42" s="716" t="s">
        <v>1007</v>
      </c>
      <c r="E42" s="716" t="s">
        <v>1742</v>
      </c>
      <c r="F42" s="720">
        <v>1</v>
      </c>
      <c r="G42" s="720">
        <v>174.17</v>
      </c>
      <c r="H42" s="745">
        <v>1</v>
      </c>
      <c r="I42" s="720"/>
      <c r="J42" s="720"/>
      <c r="K42" s="745">
        <v>0</v>
      </c>
      <c r="L42" s="720">
        <v>1</v>
      </c>
      <c r="M42" s="721">
        <v>174.17</v>
      </c>
    </row>
    <row r="43" spans="1:13" ht="14.45" customHeight="1" x14ac:dyDescent="0.2">
      <c r="A43" s="715" t="s">
        <v>531</v>
      </c>
      <c r="B43" s="716" t="s">
        <v>1743</v>
      </c>
      <c r="C43" s="716" t="s">
        <v>1744</v>
      </c>
      <c r="D43" s="716" t="s">
        <v>1745</v>
      </c>
      <c r="E43" s="716" t="s">
        <v>1746</v>
      </c>
      <c r="F43" s="720"/>
      <c r="G43" s="720"/>
      <c r="H43" s="745">
        <v>0</v>
      </c>
      <c r="I43" s="720">
        <v>1</v>
      </c>
      <c r="J43" s="720">
        <v>32.97</v>
      </c>
      <c r="K43" s="745">
        <v>1</v>
      </c>
      <c r="L43" s="720">
        <v>1</v>
      </c>
      <c r="M43" s="721">
        <v>32.97</v>
      </c>
    </row>
    <row r="44" spans="1:13" ht="14.45" customHeight="1" x14ac:dyDescent="0.2">
      <c r="A44" s="715" t="s">
        <v>531</v>
      </c>
      <c r="B44" s="716" t="s">
        <v>1747</v>
      </c>
      <c r="C44" s="716" t="s">
        <v>1748</v>
      </c>
      <c r="D44" s="716" t="s">
        <v>1137</v>
      </c>
      <c r="E44" s="716" t="s">
        <v>1749</v>
      </c>
      <c r="F44" s="720"/>
      <c r="G44" s="720"/>
      <c r="H44" s="745">
        <v>0</v>
      </c>
      <c r="I44" s="720">
        <v>1</v>
      </c>
      <c r="J44" s="720">
        <v>219.57</v>
      </c>
      <c r="K44" s="745">
        <v>1</v>
      </c>
      <c r="L44" s="720">
        <v>1</v>
      </c>
      <c r="M44" s="721">
        <v>219.57</v>
      </c>
    </row>
    <row r="45" spans="1:13" ht="14.45" customHeight="1" x14ac:dyDescent="0.2">
      <c r="A45" s="715" t="s">
        <v>531</v>
      </c>
      <c r="B45" s="716" t="s">
        <v>1747</v>
      </c>
      <c r="C45" s="716" t="s">
        <v>1750</v>
      </c>
      <c r="D45" s="716" t="s">
        <v>1141</v>
      </c>
      <c r="E45" s="716" t="s">
        <v>1751</v>
      </c>
      <c r="F45" s="720"/>
      <c r="G45" s="720"/>
      <c r="H45" s="745">
        <v>0</v>
      </c>
      <c r="I45" s="720">
        <v>1</v>
      </c>
      <c r="J45" s="720">
        <v>368.25</v>
      </c>
      <c r="K45" s="745">
        <v>1</v>
      </c>
      <c r="L45" s="720">
        <v>1</v>
      </c>
      <c r="M45" s="721">
        <v>368.25</v>
      </c>
    </row>
    <row r="46" spans="1:13" ht="14.45" customHeight="1" x14ac:dyDescent="0.2">
      <c r="A46" s="715" t="s">
        <v>531</v>
      </c>
      <c r="B46" s="716" t="s">
        <v>1752</v>
      </c>
      <c r="C46" s="716" t="s">
        <v>1753</v>
      </c>
      <c r="D46" s="716" t="s">
        <v>1754</v>
      </c>
      <c r="E46" s="716" t="s">
        <v>1755</v>
      </c>
      <c r="F46" s="720"/>
      <c r="G46" s="720"/>
      <c r="H46" s="745">
        <v>0</v>
      </c>
      <c r="I46" s="720">
        <v>1</v>
      </c>
      <c r="J46" s="720">
        <v>14.770000000000003</v>
      </c>
      <c r="K46" s="745">
        <v>1</v>
      </c>
      <c r="L46" s="720">
        <v>1</v>
      </c>
      <c r="M46" s="721">
        <v>14.770000000000003</v>
      </c>
    </row>
    <row r="47" spans="1:13" ht="14.45" customHeight="1" x14ac:dyDescent="0.2">
      <c r="A47" s="715" t="s">
        <v>531</v>
      </c>
      <c r="B47" s="716" t="s">
        <v>1756</v>
      </c>
      <c r="C47" s="716" t="s">
        <v>1757</v>
      </c>
      <c r="D47" s="716" t="s">
        <v>1758</v>
      </c>
      <c r="E47" s="716" t="s">
        <v>1759</v>
      </c>
      <c r="F47" s="720"/>
      <c r="G47" s="720"/>
      <c r="H47" s="745">
        <v>0</v>
      </c>
      <c r="I47" s="720">
        <v>1</v>
      </c>
      <c r="J47" s="720">
        <v>84.140000000000043</v>
      </c>
      <c r="K47" s="745">
        <v>1</v>
      </c>
      <c r="L47" s="720">
        <v>1</v>
      </c>
      <c r="M47" s="721">
        <v>84.140000000000043</v>
      </c>
    </row>
    <row r="48" spans="1:13" ht="14.45" customHeight="1" x14ac:dyDescent="0.2">
      <c r="A48" s="715" t="s">
        <v>531</v>
      </c>
      <c r="B48" s="716" t="s">
        <v>1760</v>
      </c>
      <c r="C48" s="716" t="s">
        <v>1761</v>
      </c>
      <c r="D48" s="716" t="s">
        <v>1262</v>
      </c>
      <c r="E48" s="716" t="s">
        <v>1263</v>
      </c>
      <c r="F48" s="720">
        <v>1</v>
      </c>
      <c r="G48" s="720">
        <v>246.04</v>
      </c>
      <c r="H48" s="745">
        <v>1</v>
      </c>
      <c r="I48" s="720"/>
      <c r="J48" s="720"/>
      <c r="K48" s="745">
        <v>0</v>
      </c>
      <c r="L48" s="720">
        <v>1</v>
      </c>
      <c r="M48" s="721">
        <v>246.04</v>
      </c>
    </row>
    <row r="49" spans="1:13" ht="14.45" customHeight="1" x14ac:dyDescent="0.2">
      <c r="A49" s="715" t="s">
        <v>531</v>
      </c>
      <c r="B49" s="716" t="s">
        <v>1762</v>
      </c>
      <c r="C49" s="716" t="s">
        <v>1763</v>
      </c>
      <c r="D49" s="716" t="s">
        <v>1005</v>
      </c>
      <c r="E49" s="716" t="s">
        <v>1764</v>
      </c>
      <c r="F49" s="720"/>
      <c r="G49" s="720"/>
      <c r="H49" s="745">
        <v>0</v>
      </c>
      <c r="I49" s="720">
        <v>1</v>
      </c>
      <c r="J49" s="720">
        <v>48.54</v>
      </c>
      <c r="K49" s="745">
        <v>1</v>
      </c>
      <c r="L49" s="720">
        <v>1</v>
      </c>
      <c r="M49" s="721">
        <v>48.54</v>
      </c>
    </row>
    <row r="50" spans="1:13" ht="14.45" customHeight="1" x14ac:dyDescent="0.2">
      <c r="A50" s="715" t="s">
        <v>531</v>
      </c>
      <c r="B50" s="716" t="s">
        <v>1765</v>
      </c>
      <c r="C50" s="716" t="s">
        <v>1766</v>
      </c>
      <c r="D50" s="716" t="s">
        <v>1767</v>
      </c>
      <c r="E50" s="716" t="s">
        <v>1768</v>
      </c>
      <c r="F50" s="720">
        <v>1</v>
      </c>
      <c r="G50" s="720">
        <v>186.7</v>
      </c>
      <c r="H50" s="745">
        <v>1</v>
      </c>
      <c r="I50" s="720"/>
      <c r="J50" s="720"/>
      <c r="K50" s="745">
        <v>0</v>
      </c>
      <c r="L50" s="720">
        <v>1</v>
      </c>
      <c r="M50" s="721">
        <v>186.7</v>
      </c>
    </row>
    <row r="51" spans="1:13" ht="14.45" customHeight="1" x14ac:dyDescent="0.2">
      <c r="A51" s="715" t="s">
        <v>531</v>
      </c>
      <c r="B51" s="716" t="s">
        <v>1769</v>
      </c>
      <c r="C51" s="716" t="s">
        <v>1770</v>
      </c>
      <c r="D51" s="716" t="s">
        <v>1771</v>
      </c>
      <c r="E51" s="716" t="s">
        <v>1772</v>
      </c>
      <c r="F51" s="720"/>
      <c r="G51" s="720"/>
      <c r="H51" s="745">
        <v>0</v>
      </c>
      <c r="I51" s="720">
        <v>1</v>
      </c>
      <c r="J51" s="720">
        <v>260.02999999999997</v>
      </c>
      <c r="K51" s="745">
        <v>1</v>
      </c>
      <c r="L51" s="720">
        <v>1</v>
      </c>
      <c r="M51" s="721">
        <v>260.02999999999997</v>
      </c>
    </row>
    <row r="52" spans="1:13" ht="14.45" customHeight="1" x14ac:dyDescent="0.2">
      <c r="A52" s="715" t="s">
        <v>531</v>
      </c>
      <c r="B52" s="716" t="s">
        <v>1769</v>
      </c>
      <c r="C52" s="716" t="s">
        <v>1773</v>
      </c>
      <c r="D52" s="716" t="s">
        <v>1245</v>
      </c>
      <c r="E52" s="716" t="s">
        <v>1246</v>
      </c>
      <c r="F52" s="720">
        <v>1</v>
      </c>
      <c r="G52" s="720">
        <v>44.66</v>
      </c>
      <c r="H52" s="745">
        <v>1</v>
      </c>
      <c r="I52" s="720"/>
      <c r="J52" s="720"/>
      <c r="K52" s="745">
        <v>0</v>
      </c>
      <c r="L52" s="720">
        <v>1</v>
      </c>
      <c r="M52" s="721">
        <v>44.66</v>
      </c>
    </row>
    <row r="53" spans="1:13" ht="14.45" customHeight="1" x14ac:dyDescent="0.2">
      <c r="A53" s="715" t="s">
        <v>531</v>
      </c>
      <c r="B53" s="716" t="s">
        <v>1774</v>
      </c>
      <c r="C53" s="716" t="s">
        <v>1775</v>
      </c>
      <c r="D53" s="716" t="s">
        <v>1776</v>
      </c>
      <c r="E53" s="716" t="s">
        <v>689</v>
      </c>
      <c r="F53" s="720">
        <v>1</v>
      </c>
      <c r="G53" s="720">
        <v>34.690000000000005</v>
      </c>
      <c r="H53" s="745">
        <v>1</v>
      </c>
      <c r="I53" s="720"/>
      <c r="J53" s="720"/>
      <c r="K53" s="745">
        <v>0</v>
      </c>
      <c r="L53" s="720">
        <v>1</v>
      </c>
      <c r="M53" s="721">
        <v>34.690000000000005</v>
      </c>
    </row>
    <row r="54" spans="1:13" ht="14.45" customHeight="1" x14ac:dyDescent="0.2">
      <c r="A54" s="715" t="s">
        <v>531</v>
      </c>
      <c r="B54" s="716" t="s">
        <v>1777</v>
      </c>
      <c r="C54" s="716" t="s">
        <v>1778</v>
      </c>
      <c r="D54" s="716" t="s">
        <v>723</v>
      </c>
      <c r="E54" s="716" t="s">
        <v>724</v>
      </c>
      <c r="F54" s="720">
        <v>1</v>
      </c>
      <c r="G54" s="720">
        <v>240.76000000000005</v>
      </c>
      <c r="H54" s="745">
        <v>1</v>
      </c>
      <c r="I54" s="720"/>
      <c r="J54" s="720"/>
      <c r="K54" s="745">
        <v>0</v>
      </c>
      <c r="L54" s="720">
        <v>1</v>
      </c>
      <c r="M54" s="721">
        <v>240.76000000000005</v>
      </c>
    </row>
    <row r="55" spans="1:13" ht="14.45" customHeight="1" x14ac:dyDescent="0.2">
      <c r="A55" s="715" t="s">
        <v>531</v>
      </c>
      <c r="B55" s="716" t="s">
        <v>1779</v>
      </c>
      <c r="C55" s="716" t="s">
        <v>1780</v>
      </c>
      <c r="D55" s="716" t="s">
        <v>1781</v>
      </c>
      <c r="E55" s="716" t="s">
        <v>1782</v>
      </c>
      <c r="F55" s="720"/>
      <c r="G55" s="720"/>
      <c r="H55" s="745">
        <v>0</v>
      </c>
      <c r="I55" s="720">
        <v>207</v>
      </c>
      <c r="J55" s="720">
        <v>286719.28000000003</v>
      </c>
      <c r="K55" s="745">
        <v>1</v>
      </c>
      <c r="L55" s="720">
        <v>207</v>
      </c>
      <c r="M55" s="721">
        <v>286719.28000000003</v>
      </c>
    </row>
    <row r="56" spans="1:13" ht="14.45" customHeight="1" x14ac:dyDescent="0.2">
      <c r="A56" s="715" t="s">
        <v>531</v>
      </c>
      <c r="B56" s="716" t="s">
        <v>1783</v>
      </c>
      <c r="C56" s="716" t="s">
        <v>1784</v>
      </c>
      <c r="D56" s="716" t="s">
        <v>729</v>
      </c>
      <c r="E56" s="716" t="s">
        <v>1785</v>
      </c>
      <c r="F56" s="720"/>
      <c r="G56" s="720"/>
      <c r="H56" s="745">
        <v>0</v>
      </c>
      <c r="I56" s="720">
        <v>3</v>
      </c>
      <c r="J56" s="720">
        <v>265.22000000000003</v>
      </c>
      <c r="K56" s="745">
        <v>1</v>
      </c>
      <c r="L56" s="720">
        <v>3</v>
      </c>
      <c r="M56" s="721">
        <v>265.22000000000003</v>
      </c>
    </row>
    <row r="57" spans="1:13" ht="14.45" customHeight="1" x14ac:dyDescent="0.2">
      <c r="A57" s="715" t="s">
        <v>531</v>
      </c>
      <c r="B57" s="716" t="s">
        <v>1783</v>
      </c>
      <c r="C57" s="716" t="s">
        <v>1786</v>
      </c>
      <c r="D57" s="716" t="s">
        <v>1204</v>
      </c>
      <c r="E57" s="716" t="s">
        <v>1787</v>
      </c>
      <c r="F57" s="720"/>
      <c r="G57" s="720"/>
      <c r="H57" s="745">
        <v>0</v>
      </c>
      <c r="I57" s="720">
        <v>23</v>
      </c>
      <c r="J57" s="720">
        <v>1493.7799999999997</v>
      </c>
      <c r="K57" s="745">
        <v>1</v>
      </c>
      <c r="L57" s="720">
        <v>23</v>
      </c>
      <c r="M57" s="721">
        <v>1493.7799999999997</v>
      </c>
    </row>
    <row r="58" spans="1:13" ht="14.45" customHeight="1" x14ac:dyDescent="0.2">
      <c r="A58" s="715" t="s">
        <v>531</v>
      </c>
      <c r="B58" s="716" t="s">
        <v>1783</v>
      </c>
      <c r="C58" s="716" t="s">
        <v>1788</v>
      </c>
      <c r="D58" s="716" t="s">
        <v>1204</v>
      </c>
      <c r="E58" s="716" t="s">
        <v>1789</v>
      </c>
      <c r="F58" s="720"/>
      <c r="G58" s="720"/>
      <c r="H58" s="745">
        <v>0</v>
      </c>
      <c r="I58" s="720">
        <v>4</v>
      </c>
      <c r="J58" s="720">
        <v>1218.4000000000001</v>
      </c>
      <c r="K58" s="745">
        <v>1</v>
      </c>
      <c r="L58" s="720">
        <v>4</v>
      </c>
      <c r="M58" s="721">
        <v>1218.4000000000001</v>
      </c>
    </row>
    <row r="59" spans="1:13" ht="14.45" customHeight="1" x14ac:dyDescent="0.2">
      <c r="A59" s="715" t="s">
        <v>531</v>
      </c>
      <c r="B59" s="716" t="s">
        <v>1790</v>
      </c>
      <c r="C59" s="716" t="s">
        <v>1791</v>
      </c>
      <c r="D59" s="716" t="s">
        <v>1792</v>
      </c>
      <c r="E59" s="716" t="s">
        <v>1793</v>
      </c>
      <c r="F59" s="720"/>
      <c r="G59" s="720"/>
      <c r="H59" s="745">
        <v>0</v>
      </c>
      <c r="I59" s="720">
        <v>4</v>
      </c>
      <c r="J59" s="720">
        <v>392.37000000000006</v>
      </c>
      <c r="K59" s="745">
        <v>1</v>
      </c>
      <c r="L59" s="720">
        <v>4</v>
      </c>
      <c r="M59" s="721">
        <v>392.37000000000006</v>
      </c>
    </row>
    <row r="60" spans="1:13" ht="14.45" customHeight="1" x14ac:dyDescent="0.2">
      <c r="A60" s="715" t="s">
        <v>531</v>
      </c>
      <c r="B60" s="716" t="s">
        <v>1790</v>
      </c>
      <c r="C60" s="716" t="s">
        <v>1794</v>
      </c>
      <c r="D60" s="716" t="s">
        <v>1792</v>
      </c>
      <c r="E60" s="716" t="s">
        <v>1795</v>
      </c>
      <c r="F60" s="720"/>
      <c r="G60" s="720"/>
      <c r="H60" s="745">
        <v>0</v>
      </c>
      <c r="I60" s="720">
        <v>6</v>
      </c>
      <c r="J60" s="720">
        <v>296.21000000000004</v>
      </c>
      <c r="K60" s="745">
        <v>1</v>
      </c>
      <c r="L60" s="720">
        <v>6</v>
      </c>
      <c r="M60" s="721">
        <v>296.21000000000004</v>
      </c>
    </row>
    <row r="61" spans="1:13" ht="14.45" customHeight="1" x14ac:dyDescent="0.2">
      <c r="A61" s="715" t="s">
        <v>531</v>
      </c>
      <c r="B61" s="716" t="s">
        <v>1790</v>
      </c>
      <c r="C61" s="716" t="s">
        <v>1796</v>
      </c>
      <c r="D61" s="716" t="s">
        <v>1792</v>
      </c>
      <c r="E61" s="716" t="s">
        <v>1797</v>
      </c>
      <c r="F61" s="720"/>
      <c r="G61" s="720"/>
      <c r="H61" s="745">
        <v>0</v>
      </c>
      <c r="I61" s="720">
        <v>12</v>
      </c>
      <c r="J61" s="720">
        <v>751.76</v>
      </c>
      <c r="K61" s="745">
        <v>1</v>
      </c>
      <c r="L61" s="720">
        <v>12</v>
      </c>
      <c r="M61" s="721">
        <v>751.76</v>
      </c>
    </row>
    <row r="62" spans="1:13" ht="14.45" customHeight="1" x14ac:dyDescent="0.2">
      <c r="A62" s="715" t="s">
        <v>531</v>
      </c>
      <c r="B62" s="716" t="s">
        <v>1790</v>
      </c>
      <c r="C62" s="716" t="s">
        <v>1798</v>
      </c>
      <c r="D62" s="716" t="s">
        <v>1799</v>
      </c>
      <c r="E62" s="716" t="s">
        <v>1800</v>
      </c>
      <c r="F62" s="720"/>
      <c r="G62" s="720"/>
      <c r="H62" s="745">
        <v>0</v>
      </c>
      <c r="I62" s="720">
        <v>1</v>
      </c>
      <c r="J62" s="720">
        <v>77.659999999999982</v>
      </c>
      <c r="K62" s="745">
        <v>1</v>
      </c>
      <c r="L62" s="720">
        <v>1</v>
      </c>
      <c r="M62" s="721">
        <v>77.659999999999982</v>
      </c>
    </row>
    <row r="63" spans="1:13" ht="14.45" customHeight="1" x14ac:dyDescent="0.2">
      <c r="A63" s="715" t="s">
        <v>531</v>
      </c>
      <c r="B63" s="716" t="s">
        <v>1790</v>
      </c>
      <c r="C63" s="716" t="s">
        <v>1801</v>
      </c>
      <c r="D63" s="716" t="s">
        <v>1799</v>
      </c>
      <c r="E63" s="716" t="s">
        <v>1802</v>
      </c>
      <c r="F63" s="720"/>
      <c r="G63" s="720"/>
      <c r="H63" s="745">
        <v>0</v>
      </c>
      <c r="I63" s="720">
        <v>4</v>
      </c>
      <c r="J63" s="720">
        <v>244.43</v>
      </c>
      <c r="K63" s="745">
        <v>1</v>
      </c>
      <c r="L63" s="720">
        <v>4</v>
      </c>
      <c r="M63" s="721">
        <v>244.43</v>
      </c>
    </row>
    <row r="64" spans="1:13" ht="14.45" customHeight="1" x14ac:dyDescent="0.2">
      <c r="A64" s="715" t="s">
        <v>531</v>
      </c>
      <c r="B64" s="716" t="s">
        <v>1803</v>
      </c>
      <c r="C64" s="716" t="s">
        <v>1804</v>
      </c>
      <c r="D64" s="716" t="s">
        <v>1805</v>
      </c>
      <c r="E64" s="716" t="s">
        <v>1806</v>
      </c>
      <c r="F64" s="720"/>
      <c r="G64" s="720"/>
      <c r="H64" s="745">
        <v>0</v>
      </c>
      <c r="I64" s="720">
        <v>94</v>
      </c>
      <c r="J64" s="720">
        <v>268664.15299999999</v>
      </c>
      <c r="K64" s="745">
        <v>1</v>
      </c>
      <c r="L64" s="720">
        <v>94</v>
      </c>
      <c r="M64" s="721">
        <v>268664.15299999999</v>
      </c>
    </row>
    <row r="65" spans="1:13" ht="14.45" customHeight="1" x14ac:dyDescent="0.2">
      <c r="A65" s="715" t="s">
        <v>531</v>
      </c>
      <c r="B65" s="716" t="s">
        <v>1807</v>
      </c>
      <c r="C65" s="716" t="s">
        <v>1808</v>
      </c>
      <c r="D65" s="716" t="s">
        <v>1809</v>
      </c>
      <c r="E65" s="716" t="s">
        <v>1128</v>
      </c>
      <c r="F65" s="720"/>
      <c r="G65" s="720"/>
      <c r="H65" s="745">
        <v>0</v>
      </c>
      <c r="I65" s="720">
        <v>131.4</v>
      </c>
      <c r="J65" s="720">
        <v>60457.649832844596</v>
      </c>
      <c r="K65" s="745">
        <v>1</v>
      </c>
      <c r="L65" s="720">
        <v>131.4</v>
      </c>
      <c r="M65" s="721">
        <v>60457.649832844596</v>
      </c>
    </row>
    <row r="66" spans="1:13" ht="14.45" customHeight="1" x14ac:dyDescent="0.2">
      <c r="A66" s="715" t="s">
        <v>531</v>
      </c>
      <c r="B66" s="716" t="s">
        <v>1810</v>
      </c>
      <c r="C66" s="716" t="s">
        <v>1811</v>
      </c>
      <c r="D66" s="716" t="s">
        <v>1812</v>
      </c>
      <c r="E66" s="716" t="s">
        <v>1813</v>
      </c>
      <c r="F66" s="720"/>
      <c r="G66" s="720"/>
      <c r="H66" s="745">
        <v>0</v>
      </c>
      <c r="I66" s="720">
        <v>19.600000000000001</v>
      </c>
      <c r="J66" s="720">
        <v>5304.8490000000002</v>
      </c>
      <c r="K66" s="745">
        <v>1</v>
      </c>
      <c r="L66" s="720">
        <v>19.600000000000001</v>
      </c>
      <c r="M66" s="721">
        <v>5304.8490000000002</v>
      </c>
    </row>
    <row r="67" spans="1:13" ht="14.45" customHeight="1" x14ac:dyDescent="0.2">
      <c r="A67" s="715" t="s">
        <v>531</v>
      </c>
      <c r="B67" s="716" t="s">
        <v>1810</v>
      </c>
      <c r="C67" s="716" t="s">
        <v>1814</v>
      </c>
      <c r="D67" s="716" t="s">
        <v>1812</v>
      </c>
      <c r="E67" s="716" t="s">
        <v>1815</v>
      </c>
      <c r="F67" s="720"/>
      <c r="G67" s="720"/>
      <c r="H67" s="745">
        <v>0</v>
      </c>
      <c r="I67" s="720">
        <v>4.0999999999999996</v>
      </c>
      <c r="J67" s="720">
        <v>589.00599999999986</v>
      </c>
      <c r="K67" s="745">
        <v>1</v>
      </c>
      <c r="L67" s="720">
        <v>4.0999999999999996</v>
      </c>
      <c r="M67" s="721">
        <v>589.00599999999986</v>
      </c>
    </row>
    <row r="68" spans="1:13" ht="14.45" customHeight="1" x14ac:dyDescent="0.2">
      <c r="A68" s="715" t="s">
        <v>531</v>
      </c>
      <c r="B68" s="716" t="s">
        <v>1816</v>
      </c>
      <c r="C68" s="716" t="s">
        <v>1817</v>
      </c>
      <c r="D68" s="716" t="s">
        <v>1818</v>
      </c>
      <c r="E68" s="716" t="s">
        <v>1819</v>
      </c>
      <c r="F68" s="720">
        <v>218</v>
      </c>
      <c r="G68" s="720">
        <v>7284.4999999999991</v>
      </c>
      <c r="H68" s="745">
        <v>1</v>
      </c>
      <c r="I68" s="720"/>
      <c r="J68" s="720"/>
      <c r="K68" s="745">
        <v>0</v>
      </c>
      <c r="L68" s="720">
        <v>218</v>
      </c>
      <c r="M68" s="721">
        <v>7284.4999999999991</v>
      </c>
    </row>
    <row r="69" spans="1:13" ht="14.45" customHeight="1" x14ac:dyDescent="0.2">
      <c r="A69" s="715" t="s">
        <v>531</v>
      </c>
      <c r="B69" s="716" t="s">
        <v>1820</v>
      </c>
      <c r="C69" s="716" t="s">
        <v>1821</v>
      </c>
      <c r="D69" s="716" t="s">
        <v>1822</v>
      </c>
      <c r="E69" s="716" t="s">
        <v>1823</v>
      </c>
      <c r="F69" s="720">
        <v>1.1000000000000001</v>
      </c>
      <c r="G69" s="720">
        <v>411.3999837620471</v>
      </c>
      <c r="H69" s="745">
        <v>1</v>
      </c>
      <c r="I69" s="720"/>
      <c r="J69" s="720"/>
      <c r="K69" s="745">
        <v>0</v>
      </c>
      <c r="L69" s="720">
        <v>1.1000000000000001</v>
      </c>
      <c r="M69" s="721">
        <v>411.3999837620471</v>
      </c>
    </row>
    <row r="70" spans="1:13" ht="14.45" customHeight="1" x14ac:dyDescent="0.2">
      <c r="A70" s="715" t="s">
        <v>531</v>
      </c>
      <c r="B70" s="716" t="s">
        <v>1820</v>
      </c>
      <c r="C70" s="716" t="s">
        <v>1824</v>
      </c>
      <c r="D70" s="716" t="s">
        <v>1825</v>
      </c>
      <c r="E70" s="716" t="s">
        <v>1515</v>
      </c>
      <c r="F70" s="720"/>
      <c r="G70" s="720"/>
      <c r="H70" s="745">
        <v>0</v>
      </c>
      <c r="I70" s="720">
        <v>0.5</v>
      </c>
      <c r="J70" s="720">
        <v>70.015000000000001</v>
      </c>
      <c r="K70" s="745">
        <v>1</v>
      </c>
      <c r="L70" s="720">
        <v>0.5</v>
      </c>
      <c r="M70" s="721">
        <v>70.015000000000001</v>
      </c>
    </row>
    <row r="71" spans="1:13" ht="14.45" customHeight="1" x14ac:dyDescent="0.2">
      <c r="A71" s="715" t="s">
        <v>531</v>
      </c>
      <c r="B71" s="716" t="s">
        <v>1826</v>
      </c>
      <c r="C71" s="716" t="s">
        <v>1827</v>
      </c>
      <c r="D71" s="716" t="s">
        <v>1828</v>
      </c>
      <c r="E71" s="716" t="s">
        <v>1515</v>
      </c>
      <c r="F71" s="720">
        <v>8.8000000000000007</v>
      </c>
      <c r="G71" s="720">
        <v>9880.2000000000007</v>
      </c>
      <c r="H71" s="745">
        <v>1</v>
      </c>
      <c r="I71" s="720"/>
      <c r="J71" s="720"/>
      <c r="K71" s="745">
        <v>0</v>
      </c>
      <c r="L71" s="720">
        <v>8.8000000000000007</v>
      </c>
      <c r="M71" s="721">
        <v>9880.2000000000007</v>
      </c>
    </row>
    <row r="72" spans="1:13" ht="14.45" customHeight="1" x14ac:dyDescent="0.2">
      <c r="A72" s="715" t="s">
        <v>531</v>
      </c>
      <c r="B72" s="716" t="s">
        <v>1826</v>
      </c>
      <c r="C72" s="716" t="s">
        <v>1829</v>
      </c>
      <c r="D72" s="716" t="s">
        <v>1514</v>
      </c>
      <c r="E72" s="716" t="s">
        <v>1515</v>
      </c>
      <c r="F72" s="720"/>
      <c r="G72" s="720"/>
      <c r="H72" s="745">
        <v>0</v>
      </c>
      <c r="I72" s="720">
        <v>20.6</v>
      </c>
      <c r="J72" s="720">
        <v>17015.558000000001</v>
      </c>
      <c r="K72" s="745">
        <v>1</v>
      </c>
      <c r="L72" s="720">
        <v>20.6</v>
      </c>
      <c r="M72" s="721">
        <v>17015.558000000001</v>
      </c>
    </row>
    <row r="73" spans="1:13" ht="14.45" customHeight="1" x14ac:dyDescent="0.2">
      <c r="A73" s="715" t="s">
        <v>531</v>
      </c>
      <c r="B73" s="716" t="s">
        <v>1826</v>
      </c>
      <c r="C73" s="716" t="s">
        <v>1830</v>
      </c>
      <c r="D73" s="716" t="s">
        <v>1831</v>
      </c>
      <c r="E73" s="716" t="s">
        <v>1515</v>
      </c>
      <c r="F73" s="720">
        <v>66.599999999999994</v>
      </c>
      <c r="G73" s="720">
        <v>85531.082000000009</v>
      </c>
      <c r="H73" s="745">
        <v>1</v>
      </c>
      <c r="I73" s="720"/>
      <c r="J73" s="720"/>
      <c r="K73" s="745">
        <v>0</v>
      </c>
      <c r="L73" s="720">
        <v>66.599999999999994</v>
      </c>
      <c r="M73" s="721">
        <v>85531.082000000009</v>
      </c>
    </row>
    <row r="74" spans="1:13" ht="14.45" customHeight="1" x14ac:dyDescent="0.2">
      <c r="A74" s="715" t="s">
        <v>531</v>
      </c>
      <c r="B74" s="716" t="s">
        <v>1832</v>
      </c>
      <c r="C74" s="716" t="s">
        <v>1833</v>
      </c>
      <c r="D74" s="716" t="s">
        <v>1539</v>
      </c>
      <c r="E74" s="716" t="s">
        <v>1834</v>
      </c>
      <c r="F74" s="720">
        <v>20.399999999999999</v>
      </c>
      <c r="G74" s="720">
        <v>46029.539999999994</v>
      </c>
      <c r="H74" s="745">
        <v>1</v>
      </c>
      <c r="I74" s="720"/>
      <c r="J74" s="720"/>
      <c r="K74" s="745">
        <v>0</v>
      </c>
      <c r="L74" s="720">
        <v>20.399999999999999</v>
      </c>
      <c r="M74" s="721">
        <v>46029.539999999994</v>
      </c>
    </row>
    <row r="75" spans="1:13" ht="14.45" customHeight="1" x14ac:dyDescent="0.2">
      <c r="A75" s="715" t="s">
        <v>531</v>
      </c>
      <c r="B75" s="716" t="s">
        <v>1835</v>
      </c>
      <c r="C75" s="716" t="s">
        <v>1836</v>
      </c>
      <c r="D75" s="716" t="s">
        <v>1837</v>
      </c>
      <c r="E75" s="716" t="s">
        <v>1838</v>
      </c>
      <c r="F75" s="720"/>
      <c r="G75" s="720"/>
      <c r="H75" s="745">
        <v>0</v>
      </c>
      <c r="I75" s="720">
        <v>18.599999999999998</v>
      </c>
      <c r="J75" s="720">
        <v>2838</v>
      </c>
      <c r="K75" s="745">
        <v>1</v>
      </c>
      <c r="L75" s="720">
        <v>18.599999999999998</v>
      </c>
      <c r="M75" s="721">
        <v>2838</v>
      </c>
    </row>
    <row r="76" spans="1:13" ht="14.45" customHeight="1" x14ac:dyDescent="0.2">
      <c r="A76" s="715" t="s">
        <v>531</v>
      </c>
      <c r="B76" s="716" t="s">
        <v>1835</v>
      </c>
      <c r="C76" s="716" t="s">
        <v>1839</v>
      </c>
      <c r="D76" s="716" t="s">
        <v>1837</v>
      </c>
      <c r="E76" s="716" t="s">
        <v>1840</v>
      </c>
      <c r="F76" s="720"/>
      <c r="G76" s="720"/>
      <c r="H76" s="745">
        <v>0</v>
      </c>
      <c r="I76" s="720">
        <v>24.099999999999994</v>
      </c>
      <c r="J76" s="720">
        <v>6354.4799999999977</v>
      </c>
      <c r="K76" s="745">
        <v>1</v>
      </c>
      <c r="L76" s="720">
        <v>24.099999999999994</v>
      </c>
      <c r="M76" s="721">
        <v>6354.4799999999977</v>
      </c>
    </row>
    <row r="77" spans="1:13" ht="14.45" customHeight="1" x14ac:dyDescent="0.2">
      <c r="A77" s="715" t="s">
        <v>531</v>
      </c>
      <c r="B77" s="716" t="s">
        <v>1841</v>
      </c>
      <c r="C77" s="716" t="s">
        <v>1842</v>
      </c>
      <c r="D77" s="716" t="s">
        <v>1843</v>
      </c>
      <c r="E77" s="716" t="s">
        <v>1844</v>
      </c>
      <c r="F77" s="720"/>
      <c r="G77" s="720"/>
      <c r="H77" s="745">
        <v>0</v>
      </c>
      <c r="I77" s="720">
        <v>14.5</v>
      </c>
      <c r="J77" s="720">
        <v>9163.6750000000011</v>
      </c>
      <c r="K77" s="745">
        <v>1</v>
      </c>
      <c r="L77" s="720">
        <v>14.5</v>
      </c>
      <c r="M77" s="721">
        <v>9163.6750000000011</v>
      </c>
    </row>
    <row r="78" spans="1:13" ht="14.45" customHeight="1" x14ac:dyDescent="0.2">
      <c r="A78" s="715" t="s">
        <v>531</v>
      </c>
      <c r="B78" s="716" t="s">
        <v>1845</v>
      </c>
      <c r="C78" s="716" t="s">
        <v>1846</v>
      </c>
      <c r="D78" s="716" t="s">
        <v>1456</v>
      </c>
      <c r="E78" s="716" t="s">
        <v>1847</v>
      </c>
      <c r="F78" s="720"/>
      <c r="G78" s="720"/>
      <c r="H78" s="745">
        <v>0</v>
      </c>
      <c r="I78" s="720">
        <v>4.0999999999999996</v>
      </c>
      <c r="J78" s="720">
        <v>1324.652</v>
      </c>
      <c r="K78" s="745">
        <v>1</v>
      </c>
      <c r="L78" s="720">
        <v>4.0999999999999996</v>
      </c>
      <c r="M78" s="721">
        <v>1324.652</v>
      </c>
    </row>
    <row r="79" spans="1:13" ht="14.45" customHeight="1" x14ac:dyDescent="0.2">
      <c r="A79" s="715" t="s">
        <v>531</v>
      </c>
      <c r="B79" s="716" t="s">
        <v>1848</v>
      </c>
      <c r="C79" s="716" t="s">
        <v>1849</v>
      </c>
      <c r="D79" s="716" t="s">
        <v>1850</v>
      </c>
      <c r="E79" s="716" t="s">
        <v>1851</v>
      </c>
      <c r="F79" s="720"/>
      <c r="G79" s="720"/>
      <c r="H79" s="745">
        <v>0</v>
      </c>
      <c r="I79" s="720">
        <v>50</v>
      </c>
      <c r="J79" s="720">
        <v>1669.5</v>
      </c>
      <c r="K79" s="745">
        <v>1</v>
      </c>
      <c r="L79" s="720">
        <v>50</v>
      </c>
      <c r="M79" s="721">
        <v>1669.5</v>
      </c>
    </row>
    <row r="80" spans="1:13" ht="14.45" customHeight="1" x14ac:dyDescent="0.2">
      <c r="A80" s="715" t="s">
        <v>531</v>
      </c>
      <c r="B80" s="716" t="s">
        <v>1848</v>
      </c>
      <c r="C80" s="716" t="s">
        <v>1852</v>
      </c>
      <c r="D80" s="716" t="s">
        <v>1850</v>
      </c>
      <c r="E80" s="716" t="s">
        <v>1853</v>
      </c>
      <c r="F80" s="720"/>
      <c r="G80" s="720"/>
      <c r="H80" s="745">
        <v>0</v>
      </c>
      <c r="I80" s="720">
        <v>91</v>
      </c>
      <c r="J80" s="720">
        <v>4812.08</v>
      </c>
      <c r="K80" s="745">
        <v>1</v>
      </c>
      <c r="L80" s="720">
        <v>91</v>
      </c>
      <c r="M80" s="721">
        <v>4812.08</v>
      </c>
    </row>
    <row r="81" spans="1:13" ht="14.45" customHeight="1" x14ac:dyDescent="0.2">
      <c r="A81" s="715" t="s">
        <v>531</v>
      </c>
      <c r="B81" s="716" t="s">
        <v>1854</v>
      </c>
      <c r="C81" s="716" t="s">
        <v>1855</v>
      </c>
      <c r="D81" s="716" t="s">
        <v>1856</v>
      </c>
      <c r="E81" s="716" t="s">
        <v>1857</v>
      </c>
      <c r="F81" s="720">
        <v>177.5</v>
      </c>
      <c r="G81" s="720">
        <v>65120.443666666673</v>
      </c>
      <c r="H81" s="745">
        <v>1</v>
      </c>
      <c r="I81" s="720"/>
      <c r="J81" s="720"/>
      <c r="K81" s="745">
        <v>0</v>
      </c>
      <c r="L81" s="720">
        <v>177.5</v>
      </c>
      <c r="M81" s="721">
        <v>65120.443666666673</v>
      </c>
    </row>
    <row r="82" spans="1:13" ht="14.45" customHeight="1" x14ac:dyDescent="0.2">
      <c r="A82" s="715" t="s">
        <v>531</v>
      </c>
      <c r="B82" s="716" t="s">
        <v>1854</v>
      </c>
      <c r="C82" s="716" t="s">
        <v>1858</v>
      </c>
      <c r="D82" s="716" t="s">
        <v>1520</v>
      </c>
      <c r="E82" s="716" t="s">
        <v>1521</v>
      </c>
      <c r="F82" s="720"/>
      <c r="G82" s="720"/>
      <c r="H82" s="745">
        <v>0</v>
      </c>
      <c r="I82" s="720">
        <v>29.55</v>
      </c>
      <c r="J82" s="720">
        <v>11170.875000000002</v>
      </c>
      <c r="K82" s="745">
        <v>1</v>
      </c>
      <c r="L82" s="720">
        <v>29.55</v>
      </c>
      <c r="M82" s="721">
        <v>11170.875000000002</v>
      </c>
    </row>
    <row r="83" spans="1:13" ht="14.45" customHeight="1" x14ac:dyDescent="0.2">
      <c r="A83" s="715" t="s">
        <v>531</v>
      </c>
      <c r="B83" s="716" t="s">
        <v>1859</v>
      </c>
      <c r="C83" s="716" t="s">
        <v>1860</v>
      </c>
      <c r="D83" s="716" t="s">
        <v>1552</v>
      </c>
      <c r="E83" s="716" t="s">
        <v>1861</v>
      </c>
      <c r="F83" s="720"/>
      <c r="G83" s="720"/>
      <c r="H83" s="745">
        <v>0</v>
      </c>
      <c r="I83" s="720">
        <v>5.2</v>
      </c>
      <c r="J83" s="720">
        <v>5901.3760000000002</v>
      </c>
      <c r="K83" s="745">
        <v>1</v>
      </c>
      <c r="L83" s="720">
        <v>5.2</v>
      </c>
      <c r="M83" s="721">
        <v>5901.3760000000002</v>
      </c>
    </row>
    <row r="84" spans="1:13" ht="14.45" customHeight="1" x14ac:dyDescent="0.2">
      <c r="A84" s="715" t="s">
        <v>531</v>
      </c>
      <c r="B84" s="716" t="s">
        <v>1862</v>
      </c>
      <c r="C84" s="716" t="s">
        <v>1863</v>
      </c>
      <c r="D84" s="716" t="s">
        <v>1864</v>
      </c>
      <c r="E84" s="716" t="s">
        <v>1865</v>
      </c>
      <c r="F84" s="720"/>
      <c r="G84" s="720"/>
      <c r="H84" s="745">
        <v>0</v>
      </c>
      <c r="I84" s="720">
        <v>73.900000000000006</v>
      </c>
      <c r="J84" s="720">
        <v>18714.039000000001</v>
      </c>
      <c r="K84" s="745">
        <v>1</v>
      </c>
      <c r="L84" s="720">
        <v>73.900000000000006</v>
      </c>
      <c r="M84" s="721">
        <v>18714.039000000001</v>
      </c>
    </row>
    <row r="85" spans="1:13" ht="14.45" customHeight="1" x14ac:dyDescent="0.2">
      <c r="A85" s="715" t="s">
        <v>531</v>
      </c>
      <c r="B85" s="716" t="s">
        <v>1862</v>
      </c>
      <c r="C85" s="716" t="s">
        <v>1866</v>
      </c>
      <c r="D85" s="716" t="s">
        <v>1864</v>
      </c>
      <c r="E85" s="716" t="s">
        <v>1867</v>
      </c>
      <c r="F85" s="720"/>
      <c r="G85" s="720"/>
      <c r="H85" s="745">
        <v>0</v>
      </c>
      <c r="I85" s="720">
        <v>16.8</v>
      </c>
      <c r="J85" s="720">
        <v>7971.6060000000007</v>
      </c>
      <c r="K85" s="745">
        <v>1</v>
      </c>
      <c r="L85" s="720">
        <v>16.8</v>
      </c>
      <c r="M85" s="721">
        <v>7971.6060000000007</v>
      </c>
    </row>
    <row r="86" spans="1:13" ht="14.45" customHeight="1" x14ac:dyDescent="0.2">
      <c r="A86" s="715" t="s">
        <v>531</v>
      </c>
      <c r="B86" s="716" t="s">
        <v>1868</v>
      </c>
      <c r="C86" s="716" t="s">
        <v>1869</v>
      </c>
      <c r="D86" s="716" t="s">
        <v>1562</v>
      </c>
      <c r="E86" s="716" t="s">
        <v>1563</v>
      </c>
      <c r="F86" s="720">
        <v>48</v>
      </c>
      <c r="G86" s="720">
        <v>9155.52</v>
      </c>
      <c r="H86" s="745">
        <v>1</v>
      </c>
      <c r="I86" s="720"/>
      <c r="J86" s="720"/>
      <c r="K86" s="745">
        <v>0</v>
      </c>
      <c r="L86" s="720">
        <v>48</v>
      </c>
      <c r="M86" s="721">
        <v>9155.52</v>
      </c>
    </row>
    <row r="87" spans="1:13" ht="14.45" customHeight="1" x14ac:dyDescent="0.2">
      <c r="A87" s="715" t="s">
        <v>531</v>
      </c>
      <c r="B87" s="716" t="s">
        <v>1870</v>
      </c>
      <c r="C87" s="716" t="s">
        <v>1871</v>
      </c>
      <c r="D87" s="716" t="s">
        <v>713</v>
      </c>
      <c r="E87" s="716" t="s">
        <v>714</v>
      </c>
      <c r="F87" s="720">
        <v>16</v>
      </c>
      <c r="G87" s="720">
        <v>8473.119999999999</v>
      </c>
      <c r="H87" s="745">
        <v>1</v>
      </c>
      <c r="I87" s="720"/>
      <c r="J87" s="720"/>
      <c r="K87" s="745">
        <v>0</v>
      </c>
      <c r="L87" s="720">
        <v>16</v>
      </c>
      <c r="M87" s="721">
        <v>8473.119999999999</v>
      </c>
    </row>
    <row r="88" spans="1:13" ht="14.45" customHeight="1" x14ac:dyDescent="0.2">
      <c r="A88" s="715" t="s">
        <v>531</v>
      </c>
      <c r="B88" s="716" t="s">
        <v>1872</v>
      </c>
      <c r="C88" s="716" t="s">
        <v>1873</v>
      </c>
      <c r="D88" s="716" t="s">
        <v>939</v>
      </c>
      <c r="E88" s="716" t="s">
        <v>1874</v>
      </c>
      <c r="F88" s="720"/>
      <c r="G88" s="720"/>
      <c r="H88" s="745">
        <v>0</v>
      </c>
      <c r="I88" s="720">
        <v>1</v>
      </c>
      <c r="J88" s="720">
        <v>359.85</v>
      </c>
      <c r="K88" s="745">
        <v>1</v>
      </c>
      <c r="L88" s="720">
        <v>1</v>
      </c>
      <c r="M88" s="721">
        <v>359.85</v>
      </c>
    </row>
    <row r="89" spans="1:13" ht="14.45" customHeight="1" x14ac:dyDescent="0.2">
      <c r="A89" s="715" t="s">
        <v>531</v>
      </c>
      <c r="B89" s="716" t="s">
        <v>1875</v>
      </c>
      <c r="C89" s="716" t="s">
        <v>1876</v>
      </c>
      <c r="D89" s="716" t="s">
        <v>1877</v>
      </c>
      <c r="E89" s="716" t="s">
        <v>1878</v>
      </c>
      <c r="F89" s="720"/>
      <c r="G89" s="720"/>
      <c r="H89" s="745">
        <v>0</v>
      </c>
      <c r="I89" s="720">
        <v>2</v>
      </c>
      <c r="J89" s="720">
        <v>1153.4400000000003</v>
      </c>
      <c r="K89" s="745">
        <v>1</v>
      </c>
      <c r="L89" s="720">
        <v>2</v>
      </c>
      <c r="M89" s="721">
        <v>1153.4400000000003</v>
      </c>
    </row>
    <row r="90" spans="1:13" ht="14.45" customHeight="1" x14ac:dyDescent="0.2">
      <c r="A90" s="715" t="s">
        <v>531</v>
      </c>
      <c r="B90" s="716" t="s">
        <v>1879</v>
      </c>
      <c r="C90" s="716" t="s">
        <v>1880</v>
      </c>
      <c r="D90" s="716" t="s">
        <v>917</v>
      </c>
      <c r="E90" s="716" t="s">
        <v>918</v>
      </c>
      <c r="F90" s="720"/>
      <c r="G90" s="720"/>
      <c r="H90" s="745">
        <v>0</v>
      </c>
      <c r="I90" s="720">
        <v>1</v>
      </c>
      <c r="J90" s="720">
        <v>292.77999999999997</v>
      </c>
      <c r="K90" s="745">
        <v>1</v>
      </c>
      <c r="L90" s="720">
        <v>1</v>
      </c>
      <c r="M90" s="721">
        <v>292.77999999999997</v>
      </c>
    </row>
    <row r="91" spans="1:13" ht="14.45" customHeight="1" x14ac:dyDescent="0.2">
      <c r="A91" s="715" t="s">
        <v>531</v>
      </c>
      <c r="B91" s="716" t="s">
        <v>1881</v>
      </c>
      <c r="C91" s="716" t="s">
        <v>1882</v>
      </c>
      <c r="D91" s="716" t="s">
        <v>564</v>
      </c>
      <c r="E91" s="716" t="s">
        <v>565</v>
      </c>
      <c r="F91" s="720"/>
      <c r="G91" s="720"/>
      <c r="H91" s="745">
        <v>0</v>
      </c>
      <c r="I91" s="720">
        <v>1</v>
      </c>
      <c r="J91" s="720">
        <v>48.600000000000016</v>
      </c>
      <c r="K91" s="745">
        <v>1</v>
      </c>
      <c r="L91" s="720">
        <v>1</v>
      </c>
      <c r="M91" s="721">
        <v>48.600000000000016</v>
      </c>
    </row>
    <row r="92" spans="1:13" ht="14.45" customHeight="1" x14ac:dyDescent="0.2">
      <c r="A92" s="715" t="s">
        <v>531</v>
      </c>
      <c r="B92" s="716" t="s">
        <v>1883</v>
      </c>
      <c r="C92" s="716" t="s">
        <v>1884</v>
      </c>
      <c r="D92" s="716" t="s">
        <v>1885</v>
      </c>
      <c r="E92" s="716" t="s">
        <v>1886</v>
      </c>
      <c r="F92" s="720"/>
      <c r="G92" s="720"/>
      <c r="H92" s="745">
        <v>0</v>
      </c>
      <c r="I92" s="720">
        <v>135</v>
      </c>
      <c r="J92" s="720">
        <v>92541.900000000009</v>
      </c>
      <c r="K92" s="745">
        <v>1</v>
      </c>
      <c r="L92" s="720">
        <v>135</v>
      </c>
      <c r="M92" s="721">
        <v>92541.900000000009</v>
      </c>
    </row>
    <row r="93" spans="1:13" ht="14.45" customHeight="1" x14ac:dyDescent="0.2">
      <c r="A93" s="715" t="s">
        <v>531</v>
      </c>
      <c r="B93" s="716" t="s">
        <v>1883</v>
      </c>
      <c r="C93" s="716" t="s">
        <v>1887</v>
      </c>
      <c r="D93" s="716" t="s">
        <v>1885</v>
      </c>
      <c r="E93" s="716" t="s">
        <v>1888</v>
      </c>
      <c r="F93" s="720"/>
      <c r="G93" s="720"/>
      <c r="H93" s="745">
        <v>0</v>
      </c>
      <c r="I93" s="720">
        <v>60</v>
      </c>
      <c r="J93" s="720">
        <v>8857.2000000000007</v>
      </c>
      <c r="K93" s="745">
        <v>1</v>
      </c>
      <c r="L93" s="720">
        <v>60</v>
      </c>
      <c r="M93" s="721">
        <v>8857.2000000000007</v>
      </c>
    </row>
    <row r="94" spans="1:13" ht="14.45" customHeight="1" x14ac:dyDescent="0.2">
      <c r="A94" s="715" t="s">
        <v>531</v>
      </c>
      <c r="B94" s="716" t="s">
        <v>1883</v>
      </c>
      <c r="C94" s="716" t="s">
        <v>1889</v>
      </c>
      <c r="D94" s="716" t="s">
        <v>1213</v>
      </c>
      <c r="E94" s="716" t="s">
        <v>1214</v>
      </c>
      <c r="F94" s="720">
        <v>79</v>
      </c>
      <c r="G94" s="720">
        <v>11375.64</v>
      </c>
      <c r="H94" s="745">
        <v>1</v>
      </c>
      <c r="I94" s="720"/>
      <c r="J94" s="720"/>
      <c r="K94" s="745">
        <v>0</v>
      </c>
      <c r="L94" s="720">
        <v>79</v>
      </c>
      <c r="M94" s="721">
        <v>11375.64</v>
      </c>
    </row>
    <row r="95" spans="1:13" ht="14.45" customHeight="1" x14ac:dyDescent="0.2">
      <c r="A95" s="715" t="s">
        <v>531</v>
      </c>
      <c r="B95" s="716" t="s">
        <v>1890</v>
      </c>
      <c r="C95" s="716" t="s">
        <v>1891</v>
      </c>
      <c r="D95" s="716" t="s">
        <v>1145</v>
      </c>
      <c r="E95" s="716" t="s">
        <v>1892</v>
      </c>
      <c r="F95" s="720">
        <v>1</v>
      </c>
      <c r="G95" s="720">
        <v>841.5</v>
      </c>
      <c r="H95" s="745">
        <v>1</v>
      </c>
      <c r="I95" s="720"/>
      <c r="J95" s="720"/>
      <c r="K95" s="745">
        <v>0</v>
      </c>
      <c r="L95" s="720">
        <v>1</v>
      </c>
      <c r="M95" s="721">
        <v>841.5</v>
      </c>
    </row>
    <row r="96" spans="1:13" ht="14.45" customHeight="1" x14ac:dyDescent="0.2">
      <c r="A96" s="715" t="s">
        <v>531</v>
      </c>
      <c r="B96" s="716" t="s">
        <v>1890</v>
      </c>
      <c r="C96" s="716" t="s">
        <v>1893</v>
      </c>
      <c r="D96" s="716" t="s">
        <v>1143</v>
      </c>
      <c r="E96" s="716" t="s">
        <v>1892</v>
      </c>
      <c r="F96" s="720"/>
      <c r="G96" s="720"/>
      <c r="H96" s="745">
        <v>0</v>
      </c>
      <c r="I96" s="720">
        <v>183</v>
      </c>
      <c r="J96" s="720">
        <v>120799.79999999999</v>
      </c>
      <c r="K96" s="745">
        <v>1</v>
      </c>
      <c r="L96" s="720">
        <v>183</v>
      </c>
      <c r="M96" s="721">
        <v>120799.79999999999</v>
      </c>
    </row>
    <row r="97" spans="1:13" ht="14.45" customHeight="1" x14ac:dyDescent="0.2">
      <c r="A97" s="715" t="s">
        <v>531</v>
      </c>
      <c r="B97" s="716" t="s">
        <v>1894</v>
      </c>
      <c r="C97" s="716" t="s">
        <v>1895</v>
      </c>
      <c r="D97" s="716" t="s">
        <v>1033</v>
      </c>
      <c r="E97" s="716" t="s">
        <v>1036</v>
      </c>
      <c r="F97" s="720">
        <v>1</v>
      </c>
      <c r="G97" s="720">
        <v>72.949999999999989</v>
      </c>
      <c r="H97" s="745">
        <v>1</v>
      </c>
      <c r="I97" s="720"/>
      <c r="J97" s="720"/>
      <c r="K97" s="745">
        <v>0</v>
      </c>
      <c r="L97" s="720">
        <v>1</v>
      </c>
      <c r="M97" s="721">
        <v>72.949999999999989</v>
      </c>
    </row>
    <row r="98" spans="1:13" ht="14.45" customHeight="1" x14ac:dyDescent="0.2">
      <c r="A98" s="715" t="s">
        <v>531</v>
      </c>
      <c r="B98" s="716" t="s">
        <v>1894</v>
      </c>
      <c r="C98" s="716" t="s">
        <v>1896</v>
      </c>
      <c r="D98" s="716" t="s">
        <v>1033</v>
      </c>
      <c r="E98" s="716" t="s">
        <v>1034</v>
      </c>
      <c r="F98" s="720">
        <v>1</v>
      </c>
      <c r="G98" s="720">
        <v>193.33</v>
      </c>
      <c r="H98" s="745">
        <v>1</v>
      </c>
      <c r="I98" s="720"/>
      <c r="J98" s="720"/>
      <c r="K98" s="745">
        <v>0</v>
      </c>
      <c r="L98" s="720">
        <v>1</v>
      </c>
      <c r="M98" s="721">
        <v>193.33</v>
      </c>
    </row>
    <row r="99" spans="1:13" ht="14.45" customHeight="1" x14ac:dyDescent="0.2">
      <c r="A99" s="715" t="s">
        <v>531</v>
      </c>
      <c r="B99" s="716" t="s">
        <v>1894</v>
      </c>
      <c r="C99" s="716" t="s">
        <v>1897</v>
      </c>
      <c r="D99" s="716" t="s">
        <v>1088</v>
      </c>
      <c r="E99" s="716" t="s">
        <v>1089</v>
      </c>
      <c r="F99" s="720"/>
      <c r="G99" s="720"/>
      <c r="H99" s="745">
        <v>0</v>
      </c>
      <c r="I99" s="720">
        <v>4</v>
      </c>
      <c r="J99" s="720">
        <v>133.88000000000002</v>
      </c>
      <c r="K99" s="745">
        <v>1</v>
      </c>
      <c r="L99" s="720">
        <v>4</v>
      </c>
      <c r="M99" s="721">
        <v>133.88000000000002</v>
      </c>
    </row>
    <row r="100" spans="1:13" ht="14.45" customHeight="1" x14ac:dyDescent="0.2">
      <c r="A100" s="715" t="s">
        <v>531</v>
      </c>
      <c r="B100" s="716" t="s">
        <v>1894</v>
      </c>
      <c r="C100" s="716" t="s">
        <v>1898</v>
      </c>
      <c r="D100" s="716" t="s">
        <v>1088</v>
      </c>
      <c r="E100" s="716" t="s">
        <v>1899</v>
      </c>
      <c r="F100" s="720"/>
      <c r="G100" s="720"/>
      <c r="H100" s="745">
        <v>0</v>
      </c>
      <c r="I100" s="720">
        <v>575</v>
      </c>
      <c r="J100" s="720">
        <v>29118.349999999995</v>
      </c>
      <c r="K100" s="745">
        <v>1</v>
      </c>
      <c r="L100" s="720">
        <v>575</v>
      </c>
      <c r="M100" s="721">
        <v>29118.349999999995</v>
      </c>
    </row>
    <row r="101" spans="1:13" ht="14.45" customHeight="1" x14ac:dyDescent="0.2">
      <c r="A101" s="715" t="s">
        <v>531</v>
      </c>
      <c r="B101" s="716" t="s">
        <v>1900</v>
      </c>
      <c r="C101" s="716" t="s">
        <v>1901</v>
      </c>
      <c r="D101" s="716" t="s">
        <v>1902</v>
      </c>
      <c r="E101" s="716" t="s">
        <v>1903</v>
      </c>
      <c r="F101" s="720"/>
      <c r="G101" s="720"/>
      <c r="H101" s="745">
        <v>0</v>
      </c>
      <c r="I101" s="720">
        <v>129</v>
      </c>
      <c r="J101" s="720">
        <v>27368</v>
      </c>
      <c r="K101" s="745">
        <v>1</v>
      </c>
      <c r="L101" s="720">
        <v>129</v>
      </c>
      <c r="M101" s="721">
        <v>27368</v>
      </c>
    </row>
    <row r="102" spans="1:13" ht="14.45" customHeight="1" x14ac:dyDescent="0.2">
      <c r="A102" s="715" t="s">
        <v>531</v>
      </c>
      <c r="B102" s="716" t="s">
        <v>1904</v>
      </c>
      <c r="C102" s="716" t="s">
        <v>1905</v>
      </c>
      <c r="D102" s="716" t="s">
        <v>1906</v>
      </c>
      <c r="E102" s="716" t="s">
        <v>1907</v>
      </c>
      <c r="F102" s="720"/>
      <c r="G102" s="720"/>
      <c r="H102" s="745">
        <v>0</v>
      </c>
      <c r="I102" s="720">
        <v>1</v>
      </c>
      <c r="J102" s="720">
        <v>237.26000000000005</v>
      </c>
      <c r="K102" s="745">
        <v>1</v>
      </c>
      <c r="L102" s="720">
        <v>1</v>
      </c>
      <c r="M102" s="721">
        <v>237.26000000000005</v>
      </c>
    </row>
    <row r="103" spans="1:13" ht="14.45" customHeight="1" x14ac:dyDescent="0.2">
      <c r="A103" s="715" t="s">
        <v>531</v>
      </c>
      <c r="B103" s="716" t="s">
        <v>1904</v>
      </c>
      <c r="C103" s="716" t="s">
        <v>1908</v>
      </c>
      <c r="D103" s="716" t="s">
        <v>1909</v>
      </c>
      <c r="E103" s="716" t="s">
        <v>1910</v>
      </c>
      <c r="F103" s="720"/>
      <c r="G103" s="720"/>
      <c r="H103" s="745">
        <v>0</v>
      </c>
      <c r="I103" s="720">
        <v>1</v>
      </c>
      <c r="J103" s="720">
        <v>125.39000000000003</v>
      </c>
      <c r="K103" s="745">
        <v>1</v>
      </c>
      <c r="L103" s="720">
        <v>1</v>
      </c>
      <c r="M103" s="721">
        <v>125.39000000000003</v>
      </c>
    </row>
    <row r="104" spans="1:13" ht="14.45" customHeight="1" x14ac:dyDescent="0.2">
      <c r="A104" s="715" t="s">
        <v>531</v>
      </c>
      <c r="B104" s="716" t="s">
        <v>1911</v>
      </c>
      <c r="C104" s="716" t="s">
        <v>1912</v>
      </c>
      <c r="D104" s="716" t="s">
        <v>1913</v>
      </c>
      <c r="E104" s="716" t="s">
        <v>1914</v>
      </c>
      <c r="F104" s="720"/>
      <c r="G104" s="720"/>
      <c r="H104" s="745">
        <v>0</v>
      </c>
      <c r="I104" s="720">
        <v>1</v>
      </c>
      <c r="J104" s="720">
        <v>126.19999999999999</v>
      </c>
      <c r="K104" s="745">
        <v>1</v>
      </c>
      <c r="L104" s="720">
        <v>1</v>
      </c>
      <c r="M104" s="721">
        <v>126.19999999999999</v>
      </c>
    </row>
    <row r="105" spans="1:13" ht="14.45" customHeight="1" x14ac:dyDescent="0.2">
      <c r="A105" s="715" t="s">
        <v>531</v>
      </c>
      <c r="B105" s="716" t="s">
        <v>1915</v>
      </c>
      <c r="C105" s="716" t="s">
        <v>1916</v>
      </c>
      <c r="D105" s="716" t="s">
        <v>1917</v>
      </c>
      <c r="E105" s="716" t="s">
        <v>1918</v>
      </c>
      <c r="F105" s="720">
        <v>1</v>
      </c>
      <c r="G105" s="720">
        <v>169.44</v>
      </c>
      <c r="H105" s="745">
        <v>1</v>
      </c>
      <c r="I105" s="720"/>
      <c r="J105" s="720"/>
      <c r="K105" s="745">
        <v>0</v>
      </c>
      <c r="L105" s="720">
        <v>1</v>
      </c>
      <c r="M105" s="721">
        <v>169.44</v>
      </c>
    </row>
    <row r="106" spans="1:13" ht="14.45" customHeight="1" x14ac:dyDescent="0.2">
      <c r="A106" s="715" t="s">
        <v>531</v>
      </c>
      <c r="B106" s="716" t="s">
        <v>1919</v>
      </c>
      <c r="C106" s="716" t="s">
        <v>1920</v>
      </c>
      <c r="D106" s="716" t="s">
        <v>1921</v>
      </c>
      <c r="E106" s="716" t="s">
        <v>1922</v>
      </c>
      <c r="F106" s="720">
        <v>1</v>
      </c>
      <c r="G106" s="720">
        <v>125.91</v>
      </c>
      <c r="H106" s="745">
        <v>1</v>
      </c>
      <c r="I106" s="720"/>
      <c r="J106" s="720"/>
      <c r="K106" s="745">
        <v>0</v>
      </c>
      <c r="L106" s="720">
        <v>1</v>
      </c>
      <c r="M106" s="721">
        <v>125.91</v>
      </c>
    </row>
    <row r="107" spans="1:13" ht="14.45" customHeight="1" x14ac:dyDescent="0.2">
      <c r="A107" s="715" t="s">
        <v>531</v>
      </c>
      <c r="B107" s="716" t="s">
        <v>1923</v>
      </c>
      <c r="C107" s="716" t="s">
        <v>1924</v>
      </c>
      <c r="D107" s="716" t="s">
        <v>1925</v>
      </c>
      <c r="E107" s="716" t="s">
        <v>1926</v>
      </c>
      <c r="F107" s="720"/>
      <c r="G107" s="720"/>
      <c r="H107" s="745">
        <v>0</v>
      </c>
      <c r="I107" s="720">
        <v>1</v>
      </c>
      <c r="J107" s="720">
        <v>1291.95</v>
      </c>
      <c r="K107" s="745">
        <v>1</v>
      </c>
      <c r="L107" s="720">
        <v>1</v>
      </c>
      <c r="M107" s="721">
        <v>1291.95</v>
      </c>
    </row>
    <row r="108" spans="1:13" ht="14.45" customHeight="1" x14ac:dyDescent="0.2">
      <c r="A108" s="715" t="s">
        <v>531</v>
      </c>
      <c r="B108" s="716" t="s">
        <v>1927</v>
      </c>
      <c r="C108" s="716" t="s">
        <v>1928</v>
      </c>
      <c r="D108" s="716" t="s">
        <v>1929</v>
      </c>
      <c r="E108" s="716" t="s">
        <v>1930</v>
      </c>
      <c r="F108" s="720"/>
      <c r="G108" s="720"/>
      <c r="H108" s="745">
        <v>0</v>
      </c>
      <c r="I108" s="720">
        <v>7</v>
      </c>
      <c r="J108" s="720">
        <v>137.06</v>
      </c>
      <c r="K108" s="745">
        <v>1</v>
      </c>
      <c r="L108" s="720">
        <v>7</v>
      </c>
      <c r="M108" s="721">
        <v>137.06</v>
      </c>
    </row>
    <row r="109" spans="1:13" ht="14.45" customHeight="1" x14ac:dyDescent="0.2">
      <c r="A109" s="715" t="s">
        <v>531</v>
      </c>
      <c r="B109" s="716" t="s">
        <v>1927</v>
      </c>
      <c r="C109" s="716" t="s">
        <v>1931</v>
      </c>
      <c r="D109" s="716" t="s">
        <v>1929</v>
      </c>
      <c r="E109" s="716" t="s">
        <v>1932</v>
      </c>
      <c r="F109" s="720"/>
      <c r="G109" s="720"/>
      <c r="H109" s="745">
        <v>0</v>
      </c>
      <c r="I109" s="720">
        <v>5</v>
      </c>
      <c r="J109" s="720">
        <v>45.519999999999996</v>
      </c>
      <c r="K109" s="745">
        <v>1</v>
      </c>
      <c r="L109" s="720">
        <v>5</v>
      </c>
      <c r="M109" s="721">
        <v>45.519999999999996</v>
      </c>
    </row>
    <row r="110" spans="1:13" ht="14.45" customHeight="1" x14ac:dyDescent="0.2">
      <c r="A110" s="715" t="s">
        <v>531</v>
      </c>
      <c r="B110" s="716" t="s">
        <v>1933</v>
      </c>
      <c r="C110" s="716" t="s">
        <v>1934</v>
      </c>
      <c r="D110" s="716" t="s">
        <v>1935</v>
      </c>
      <c r="E110" s="716" t="s">
        <v>1936</v>
      </c>
      <c r="F110" s="720"/>
      <c r="G110" s="720"/>
      <c r="H110" s="745">
        <v>0</v>
      </c>
      <c r="I110" s="720">
        <v>1</v>
      </c>
      <c r="J110" s="720">
        <v>49.36999999999999</v>
      </c>
      <c r="K110" s="745">
        <v>1</v>
      </c>
      <c r="L110" s="720">
        <v>1</v>
      </c>
      <c r="M110" s="721">
        <v>49.36999999999999</v>
      </c>
    </row>
    <row r="111" spans="1:13" ht="14.45" customHeight="1" x14ac:dyDescent="0.2">
      <c r="A111" s="715" t="s">
        <v>531</v>
      </c>
      <c r="B111" s="716" t="s">
        <v>1933</v>
      </c>
      <c r="C111" s="716" t="s">
        <v>1937</v>
      </c>
      <c r="D111" s="716" t="s">
        <v>1935</v>
      </c>
      <c r="E111" s="716" t="s">
        <v>1938</v>
      </c>
      <c r="F111" s="720"/>
      <c r="G111" s="720"/>
      <c r="H111" s="745">
        <v>0</v>
      </c>
      <c r="I111" s="720">
        <v>1</v>
      </c>
      <c r="J111" s="720">
        <v>67.389999999999986</v>
      </c>
      <c r="K111" s="745">
        <v>1</v>
      </c>
      <c r="L111" s="720">
        <v>1</v>
      </c>
      <c r="M111" s="721">
        <v>67.389999999999986</v>
      </c>
    </row>
    <row r="112" spans="1:13" ht="14.45" customHeight="1" x14ac:dyDescent="0.2">
      <c r="A112" s="715" t="s">
        <v>531</v>
      </c>
      <c r="B112" s="716" t="s">
        <v>1933</v>
      </c>
      <c r="C112" s="716" t="s">
        <v>1939</v>
      </c>
      <c r="D112" s="716" t="s">
        <v>1935</v>
      </c>
      <c r="E112" s="716" t="s">
        <v>1940</v>
      </c>
      <c r="F112" s="720"/>
      <c r="G112" s="720"/>
      <c r="H112" s="745">
        <v>0</v>
      </c>
      <c r="I112" s="720">
        <v>3</v>
      </c>
      <c r="J112" s="720">
        <v>286.3</v>
      </c>
      <c r="K112" s="745">
        <v>1</v>
      </c>
      <c r="L112" s="720">
        <v>3</v>
      </c>
      <c r="M112" s="721">
        <v>286.3</v>
      </c>
    </row>
    <row r="113" spans="1:13" ht="14.45" customHeight="1" x14ac:dyDescent="0.2">
      <c r="A113" s="715" t="s">
        <v>531</v>
      </c>
      <c r="B113" s="716" t="s">
        <v>1933</v>
      </c>
      <c r="C113" s="716" t="s">
        <v>1941</v>
      </c>
      <c r="D113" s="716" t="s">
        <v>1935</v>
      </c>
      <c r="E113" s="716" t="s">
        <v>1942</v>
      </c>
      <c r="F113" s="720"/>
      <c r="G113" s="720"/>
      <c r="H113" s="745">
        <v>0</v>
      </c>
      <c r="I113" s="720">
        <v>41</v>
      </c>
      <c r="J113" s="720">
        <v>11512.9</v>
      </c>
      <c r="K113" s="745">
        <v>1</v>
      </c>
      <c r="L113" s="720">
        <v>41</v>
      </c>
      <c r="M113" s="721">
        <v>11512.9</v>
      </c>
    </row>
    <row r="114" spans="1:13" ht="14.45" customHeight="1" x14ac:dyDescent="0.2">
      <c r="A114" s="715" t="s">
        <v>531</v>
      </c>
      <c r="B114" s="716" t="s">
        <v>1933</v>
      </c>
      <c r="C114" s="716" t="s">
        <v>1943</v>
      </c>
      <c r="D114" s="716" t="s">
        <v>1944</v>
      </c>
      <c r="E114" s="716" t="s">
        <v>1942</v>
      </c>
      <c r="F114" s="720">
        <v>32</v>
      </c>
      <c r="G114" s="720">
        <v>32210.239999999998</v>
      </c>
      <c r="H114" s="745">
        <v>1</v>
      </c>
      <c r="I114" s="720"/>
      <c r="J114" s="720"/>
      <c r="K114" s="745">
        <v>0</v>
      </c>
      <c r="L114" s="720">
        <v>32</v>
      </c>
      <c r="M114" s="721">
        <v>32210.239999999998</v>
      </c>
    </row>
    <row r="115" spans="1:13" ht="14.45" customHeight="1" x14ac:dyDescent="0.2">
      <c r="A115" s="715" t="s">
        <v>531</v>
      </c>
      <c r="B115" s="716" t="s">
        <v>1945</v>
      </c>
      <c r="C115" s="716" t="s">
        <v>1946</v>
      </c>
      <c r="D115" s="716" t="s">
        <v>1327</v>
      </c>
      <c r="E115" s="716" t="s">
        <v>1947</v>
      </c>
      <c r="F115" s="720">
        <v>1</v>
      </c>
      <c r="G115" s="720">
        <v>45.489999999999995</v>
      </c>
      <c r="H115" s="745">
        <v>1</v>
      </c>
      <c r="I115" s="720"/>
      <c r="J115" s="720"/>
      <c r="K115" s="745">
        <v>0</v>
      </c>
      <c r="L115" s="720">
        <v>1</v>
      </c>
      <c r="M115" s="721">
        <v>45.489999999999995</v>
      </c>
    </row>
    <row r="116" spans="1:13" ht="14.45" customHeight="1" x14ac:dyDescent="0.2">
      <c r="A116" s="715" t="s">
        <v>531</v>
      </c>
      <c r="B116" s="716" t="s">
        <v>1945</v>
      </c>
      <c r="C116" s="716" t="s">
        <v>1948</v>
      </c>
      <c r="D116" s="716" t="s">
        <v>1327</v>
      </c>
      <c r="E116" s="716" t="s">
        <v>1949</v>
      </c>
      <c r="F116" s="720"/>
      <c r="G116" s="720"/>
      <c r="H116" s="745">
        <v>0</v>
      </c>
      <c r="I116" s="720">
        <v>2</v>
      </c>
      <c r="J116" s="720">
        <v>44.26</v>
      </c>
      <c r="K116" s="745">
        <v>1</v>
      </c>
      <c r="L116" s="720">
        <v>2</v>
      </c>
      <c r="M116" s="721">
        <v>44.26</v>
      </c>
    </row>
    <row r="117" spans="1:13" ht="14.45" customHeight="1" x14ac:dyDescent="0.2">
      <c r="A117" s="715" t="s">
        <v>531</v>
      </c>
      <c r="B117" s="716" t="s">
        <v>1945</v>
      </c>
      <c r="C117" s="716" t="s">
        <v>1950</v>
      </c>
      <c r="D117" s="716" t="s">
        <v>1327</v>
      </c>
      <c r="E117" s="716" t="s">
        <v>1947</v>
      </c>
      <c r="F117" s="720"/>
      <c r="G117" s="720"/>
      <c r="H117" s="745">
        <v>0</v>
      </c>
      <c r="I117" s="720">
        <v>4</v>
      </c>
      <c r="J117" s="720">
        <v>182.22</v>
      </c>
      <c r="K117" s="745">
        <v>1</v>
      </c>
      <c r="L117" s="720">
        <v>4</v>
      </c>
      <c r="M117" s="721">
        <v>182.22</v>
      </c>
    </row>
    <row r="118" spans="1:13" ht="14.45" customHeight="1" x14ac:dyDescent="0.2">
      <c r="A118" s="715" t="s">
        <v>531</v>
      </c>
      <c r="B118" s="716" t="s">
        <v>1951</v>
      </c>
      <c r="C118" s="716" t="s">
        <v>1952</v>
      </c>
      <c r="D118" s="716" t="s">
        <v>742</v>
      </c>
      <c r="E118" s="716" t="s">
        <v>743</v>
      </c>
      <c r="F118" s="720"/>
      <c r="G118" s="720"/>
      <c r="H118" s="745">
        <v>0</v>
      </c>
      <c r="I118" s="720">
        <v>2</v>
      </c>
      <c r="J118" s="720">
        <v>2244</v>
      </c>
      <c r="K118" s="745">
        <v>1</v>
      </c>
      <c r="L118" s="720">
        <v>2</v>
      </c>
      <c r="M118" s="721">
        <v>2244</v>
      </c>
    </row>
    <row r="119" spans="1:13" ht="14.45" customHeight="1" x14ac:dyDescent="0.2">
      <c r="A119" s="715" t="s">
        <v>531</v>
      </c>
      <c r="B119" s="716" t="s">
        <v>1951</v>
      </c>
      <c r="C119" s="716" t="s">
        <v>1953</v>
      </c>
      <c r="D119" s="716" t="s">
        <v>740</v>
      </c>
      <c r="E119" s="716" t="s">
        <v>1954</v>
      </c>
      <c r="F119" s="720">
        <v>3</v>
      </c>
      <c r="G119" s="720">
        <v>41491.89</v>
      </c>
      <c r="H119" s="745">
        <v>1</v>
      </c>
      <c r="I119" s="720"/>
      <c r="J119" s="720"/>
      <c r="K119" s="745">
        <v>0</v>
      </c>
      <c r="L119" s="720">
        <v>3</v>
      </c>
      <c r="M119" s="721">
        <v>41491.89</v>
      </c>
    </row>
    <row r="120" spans="1:13" ht="14.45" customHeight="1" x14ac:dyDescent="0.2">
      <c r="A120" s="715" t="s">
        <v>531</v>
      </c>
      <c r="B120" s="716" t="s">
        <v>1955</v>
      </c>
      <c r="C120" s="716" t="s">
        <v>1956</v>
      </c>
      <c r="D120" s="716" t="s">
        <v>1957</v>
      </c>
      <c r="E120" s="716" t="s">
        <v>691</v>
      </c>
      <c r="F120" s="720">
        <v>2</v>
      </c>
      <c r="G120" s="720">
        <v>237.59000000000003</v>
      </c>
      <c r="H120" s="745">
        <v>1</v>
      </c>
      <c r="I120" s="720"/>
      <c r="J120" s="720"/>
      <c r="K120" s="745">
        <v>0</v>
      </c>
      <c r="L120" s="720">
        <v>2</v>
      </c>
      <c r="M120" s="721">
        <v>237.59000000000003</v>
      </c>
    </row>
    <row r="121" spans="1:13" ht="14.45" customHeight="1" x14ac:dyDescent="0.2">
      <c r="A121" s="715" t="s">
        <v>531</v>
      </c>
      <c r="B121" s="716" t="s">
        <v>1958</v>
      </c>
      <c r="C121" s="716" t="s">
        <v>1959</v>
      </c>
      <c r="D121" s="716" t="s">
        <v>1960</v>
      </c>
      <c r="E121" s="716" t="s">
        <v>1961</v>
      </c>
      <c r="F121" s="720"/>
      <c r="G121" s="720"/>
      <c r="H121" s="745">
        <v>0</v>
      </c>
      <c r="I121" s="720">
        <v>1</v>
      </c>
      <c r="J121" s="720">
        <v>329.11</v>
      </c>
      <c r="K121" s="745">
        <v>1</v>
      </c>
      <c r="L121" s="720">
        <v>1</v>
      </c>
      <c r="M121" s="721">
        <v>329.11</v>
      </c>
    </row>
    <row r="122" spans="1:13" ht="14.45" customHeight="1" x14ac:dyDescent="0.2">
      <c r="A122" s="715" t="s">
        <v>531</v>
      </c>
      <c r="B122" s="716" t="s">
        <v>1958</v>
      </c>
      <c r="C122" s="716" t="s">
        <v>1962</v>
      </c>
      <c r="D122" s="716" t="s">
        <v>1963</v>
      </c>
      <c r="E122" s="716" t="s">
        <v>1964</v>
      </c>
      <c r="F122" s="720"/>
      <c r="G122" s="720"/>
      <c r="H122" s="745">
        <v>0</v>
      </c>
      <c r="I122" s="720">
        <v>1</v>
      </c>
      <c r="J122" s="720">
        <v>183.51</v>
      </c>
      <c r="K122" s="745">
        <v>1</v>
      </c>
      <c r="L122" s="720">
        <v>1</v>
      </c>
      <c r="M122" s="721">
        <v>183.51</v>
      </c>
    </row>
    <row r="123" spans="1:13" ht="14.45" customHeight="1" x14ac:dyDescent="0.2">
      <c r="A123" s="715" t="s">
        <v>531</v>
      </c>
      <c r="B123" s="716" t="s">
        <v>1965</v>
      </c>
      <c r="C123" s="716" t="s">
        <v>1966</v>
      </c>
      <c r="D123" s="716" t="s">
        <v>1967</v>
      </c>
      <c r="E123" s="716" t="s">
        <v>1968</v>
      </c>
      <c r="F123" s="720"/>
      <c r="G123" s="720"/>
      <c r="H123" s="745">
        <v>0</v>
      </c>
      <c r="I123" s="720">
        <v>1</v>
      </c>
      <c r="J123" s="720">
        <v>138.51</v>
      </c>
      <c r="K123" s="745">
        <v>1</v>
      </c>
      <c r="L123" s="720">
        <v>1</v>
      </c>
      <c r="M123" s="721">
        <v>138.51</v>
      </c>
    </row>
    <row r="124" spans="1:13" ht="14.45" customHeight="1" x14ac:dyDescent="0.2">
      <c r="A124" s="715" t="s">
        <v>531</v>
      </c>
      <c r="B124" s="716" t="s">
        <v>1969</v>
      </c>
      <c r="C124" s="716" t="s">
        <v>1970</v>
      </c>
      <c r="D124" s="716" t="s">
        <v>633</v>
      </c>
      <c r="E124" s="716" t="s">
        <v>1971</v>
      </c>
      <c r="F124" s="720"/>
      <c r="G124" s="720"/>
      <c r="H124" s="745">
        <v>0</v>
      </c>
      <c r="I124" s="720">
        <v>1</v>
      </c>
      <c r="J124" s="720">
        <v>77.19</v>
      </c>
      <c r="K124" s="745">
        <v>1</v>
      </c>
      <c r="L124" s="720">
        <v>1</v>
      </c>
      <c r="M124" s="721">
        <v>77.19</v>
      </c>
    </row>
    <row r="125" spans="1:13" ht="14.45" customHeight="1" x14ac:dyDescent="0.2">
      <c r="A125" s="715" t="s">
        <v>531</v>
      </c>
      <c r="B125" s="716" t="s">
        <v>1972</v>
      </c>
      <c r="C125" s="716" t="s">
        <v>1973</v>
      </c>
      <c r="D125" s="716" t="s">
        <v>1974</v>
      </c>
      <c r="E125" s="716" t="s">
        <v>1975</v>
      </c>
      <c r="F125" s="720"/>
      <c r="G125" s="720"/>
      <c r="H125" s="745">
        <v>0</v>
      </c>
      <c r="I125" s="720">
        <v>45</v>
      </c>
      <c r="J125" s="720">
        <v>3652.420000000001</v>
      </c>
      <c r="K125" s="745">
        <v>1</v>
      </c>
      <c r="L125" s="720">
        <v>45</v>
      </c>
      <c r="M125" s="721">
        <v>3652.420000000001</v>
      </c>
    </row>
    <row r="126" spans="1:13" ht="14.45" customHeight="1" x14ac:dyDescent="0.2">
      <c r="A126" s="715" t="s">
        <v>531</v>
      </c>
      <c r="B126" s="716" t="s">
        <v>1976</v>
      </c>
      <c r="C126" s="716" t="s">
        <v>1977</v>
      </c>
      <c r="D126" s="716" t="s">
        <v>1978</v>
      </c>
      <c r="E126" s="716" t="s">
        <v>1979</v>
      </c>
      <c r="F126" s="720"/>
      <c r="G126" s="720"/>
      <c r="H126" s="745">
        <v>0</v>
      </c>
      <c r="I126" s="720">
        <v>1</v>
      </c>
      <c r="J126" s="720">
        <v>587.13</v>
      </c>
      <c r="K126" s="745">
        <v>1</v>
      </c>
      <c r="L126" s="720">
        <v>1</v>
      </c>
      <c r="M126" s="721">
        <v>587.13</v>
      </c>
    </row>
    <row r="127" spans="1:13" ht="14.45" customHeight="1" x14ac:dyDescent="0.2">
      <c r="A127" s="715" t="s">
        <v>531</v>
      </c>
      <c r="B127" s="716" t="s">
        <v>1976</v>
      </c>
      <c r="C127" s="716" t="s">
        <v>1980</v>
      </c>
      <c r="D127" s="716" t="s">
        <v>1981</v>
      </c>
      <c r="E127" s="716" t="s">
        <v>1982</v>
      </c>
      <c r="F127" s="720"/>
      <c r="G127" s="720"/>
      <c r="H127" s="745">
        <v>0</v>
      </c>
      <c r="I127" s="720">
        <v>1</v>
      </c>
      <c r="J127" s="720">
        <v>762.61</v>
      </c>
      <c r="K127" s="745">
        <v>1</v>
      </c>
      <c r="L127" s="720">
        <v>1</v>
      </c>
      <c r="M127" s="721">
        <v>762.61</v>
      </c>
    </row>
    <row r="128" spans="1:13" ht="14.45" customHeight="1" x14ac:dyDescent="0.2">
      <c r="A128" s="715" t="s">
        <v>531</v>
      </c>
      <c r="B128" s="716" t="s">
        <v>1983</v>
      </c>
      <c r="C128" s="716" t="s">
        <v>1984</v>
      </c>
      <c r="D128" s="716" t="s">
        <v>1320</v>
      </c>
      <c r="E128" s="716" t="s">
        <v>1985</v>
      </c>
      <c r="F128" s="720"/>
      <c r="G128" s="720"/>
      <c r="H128" s="745">
        <v>0</v>
      </c>
      <c r="I128" s="720">
        <v>3</v>
      </c>
      <c r="J128" s="720">
        <v>225.05999999999997</v>
      </c>
      <c r="K128" s="745">
        <v>1</v>
      </c>
      <c r="L128" s="720">
        <v>3</v>
      </c>
      <c r="M128" s="721">
        <v>225.05999999999997</v>
      </c>
    </row>
    <row r="129" spans="1:13" ht="14.45" customHeight="1" x14ac:dyDescent="0.2">
      <c r="A129" s="715" t="s">
        <v>531</v>
      </c>
      <c r="B129" s="716" t="s">
        <v>1983</v>
      </c>
      <c r="C129" s="716" t="s">
        <v>1986</v>
      </c>
      <c r="D129" s="716" t="s">
        <v>1323</v>
      </c>
      <c r="E129" s="716" t="s">
        <v>1987</v>
      </c>
      <c r="F129" s="720"/>
      <c r="G129" s="720"/>
      <c r="H129" s="745">
        <v>0</v>
      </c>
      <c r="I129" s="720">
        <v>1</v>
      </c>
      <c r="J129" s="720">
        <v>64.98</v>
      </c>
      <c r="K129" s="745">
        <v>1</v>
      </c>
      <c r="L129" s="720">
        <v>1</v>
      </c>
      <c r="M129" s="721">
        <v>64.98</v>
      </c>
    </row>
    <row r="130" spans="1:13" ht="14.45" customHeight="1" x14ac:dyDescent="0.2">
      <c r="A130" s="715" t="s">
        <v>531</v>
      </c>
      <c r="B130" s="716" t="s">
        <v>1983</v>
      </c>
      <c r="C130" s="716" t="s">
        <v>1988</v>
      </c>
      <c r="D130" s="716" t="s">
        <v>1320</v>
      </c>
      <c r="E130" s="716" t="s">
        <v>1989</v>
      </c>
      <c r="F130" s="720"/>
      <c r="G130" s="720"/>
      <c r="H130" s="745">
        <v>0</v>
      </c>
      <c r="I130" s="720">
        <v>1</v>
      </c>
      <c r="J130" s="720">
        <v>28.5</v>
      </c>
      <c r="K130" s="745">
        <v>1</v>
      </c>
      <c r="L130" s="720">
        <v>1</v>
      </c>
      <c r="M130" s="721">
        <v>28.5</v>
      </c>
    </row>
    <row r="131" spans="1:13" ht="14.45" customHeight="1" x14ac:dyDescent="0.2">
      <c r="A131" s="715" t="s">
        <v>531</v>
      </c>
      <c r="B131" s="716" t="s">
        <v>1990</v>
      </c>
      <c r="C131" s="716" t="s">
        <v>1991</v>
      </c>
      <c r="D131" s="716" t="s">
        <v>1992</v>
      </c>
      <c r="E131" s="716" t="s">
        <v>1993</v>
      </c>
      <c r="F131" s="720">
        <v>1</v>
      </c>
      <c r="G131" s="720">
        <v>499.19999999999987</v>
      </c>
      <c r="H131" s="745">
        <v>1</v>
      </c>
      <c r="I131" s="720"/>
      <c r="J131" s="720"/>
      <c r="K131" s="745">
        <v>0</v>
      </c>
      <c r="L131" s="720">
        <v>1</v>
      </c>
      <c r="M131" s="721">
        <v>499.19999999999987</v>
      </c>
    </row>
    <row r="132" spans="1:13" ht="14.45" customHeight="1" x14ac:dyDescent="0.2">
      <c r="A132" s="715" t="s">
        <v>531</v>
      </c>
      <c r="B132" s="716" t="s">
        <v>1994</v>
      </c>
      <c r="C132" s="716" t="s">
        <v>1995</v>
      </c>
      <c r="D132" s="716" t="s">
        <v>1198</v>
      </c>
      <c r="E132" s="716" t="s">
        <v>1199</v>
      </c>
      <c r="F132" s="720"/>
      <c r="G132" s="720"/>
      <c r="H132" s="745">
        <v>0</v>
      </c>
      <c r="I132" s="720">
        <v>1</v>
      </c>
      <c r="J132" s="720">
        <v>2242.4299999999998</v>
      </c>
      <c r="K132" s="745">
        <v>1</v>
      </c>
      <c r="L132" s="720">
        <v>1</v>
      </c>
      <c r="M132" s="721">
        <v>2242.4299999999998</v>
      </c>
    </row>
    <row r="133" spans="1:13" ht="14.45" customHeight="1" x14ac:dyDescent="0.2">
      <c r="A133" s="715" t="s">
        <v>531</v>
      </c>
      <c r="B133" s="716" t="s">
        <v>1996</v>
      </c>
      <c r="C133" s="716" t="s">
        <v>1997</v>
      </c>
      <c r="D133" s="716" t="s">
        <v>1389</v>
      </c>
      <c r="E133" s="716" t="s">
        <v>1376</v>
      </c>
      <c r="F133" s="720">
        <v>23</v>
      </c>
      <c r="G133" s="720">
        <v>2856.6000000000008</v>
      </c>
      <c r="H133" s="745">
        <v>1</v>
      </c>
      <c r="I133" s="720"/>
      <c r="J133" s="720"/>
      <c r="K133" s="745">
        <v>0</v>
      </c>
      <c r="L133" s="720">
        <v>23</v>
      </c>
      <c r="M133" s="721">
        <v>2856.6000000000008</v>
      </c>
    </row>
    <row r="134" spans="1:13" ht="14.45" customHeight="1" x14ac:dyDescent="0.2">
      <c r="A134" s="715" t="s">
        <v>531</v>
      </c>
      <c r="B134" s="716" t="s">
        <v>1996</v>
      </c>
      <c r="C134" s="716" t="s">
        <v>1998</v>
      </c>
      <c r="D134" s="716" t="s">
        <v>1419</v>
      </c>
      <c r="E134" s="716" t="s">
        <v>1413</v>
      </c>
      <c r="F134" s="720"/>
      <c r="G134" s="720"/>
      <c r="H134" s="745">
        <v>0</v>
      </c>
      <c r="I134" s="720">
        <v>1</v>
      </c>
      <c r="J134" s="720">
        <v>1502.2699999999998</v>
      </c>
      <c r="K134" s="745">
        <v>1</v>
      </c>
      <c r="L134" s="720">
        <v>1</v>
      </c>
      <c r="M134" s="721">
        <v>1502.2699999999998</v>
      </c>
    </row>
    <row r="135" spans="1:13" ht="14.45" customHeight="1" x14ac:dyDescent="0.2">
      <c r="A135" s="715" t="s">
        <v>531</v>
      </c>
      <c r="B135" s="716" t="s">
        <v>1996</v>
      </c>
      <c r="C135" s="716" t="s">
        <v>1999</v>
      </c>
      <c r="D135" s="716" t="s">
        <v>1412</v>
      </c>
      <c r="E135" s="716" t="s">
        <v>1413</v>
      </c>
      <c r="F135" s="720"/>
      <c r="G135" s="720"/>
      <c r="H135" s="745">
        <v>0</v>
      </c>
      <c r="I135" s="720">
        <v>36</v>
      </c>
      <c r="J135" s="720">
        <v>39980.630000000005</v>
      </c>
      <c r="K135" s="745">
        <v>1</v>
      </c>
      <c r="L135" s="720">
        <v>36</v>
      </c>
      <c r="M135" s="721">
        <v>39980.630000000005</v>
      </c>
    </row>
    <row r="136" spans="1:13" ht="14.45" customHeight="1" x14ac:dyDescent="0.2">
      <c r="A136" s="715" t="s">
        <v>531</v>
      </c>
      <c r="B136" s="716" t="s">
        <v>1996</v>
      </c>
      <c r="C136" s="716" t="s">
        <v>2000</v>
      </c>
      <c r="D136" s="716" t="s">
        <v>1380</v>
      </c>
      <c r="E136" s="716" t="s">
        <v>799</v>
      </c>
      <c r="F136" s="720">
        <v>2</v>
      </c>
      <c r="G136" s="720">
        <v>323.19999999999993</v>
      </c>
      <c r="H136" s="745">
        <v>1</v>
      </c>
      <c r="I136" s="720"/>
      <c r="J136" s="720"/>
      <c r="K136" s="745">
        <v>0</v>
      </c>
      <c r="L136" s="720">
        <v>2</v>
      </c>
      <c r="M136" s="721">
        <v>323.19999999999993</v>
      </c>
    </row>
    <row r="137" spans="1:13" ht="14.45" customHeight="1" x14ac:dyDescent="0.2">
      <c r="A137" s="715" t="s">
        <v>531</v>
      </c>
      <c r="B137" s="716" t="s">
        <v>1996</v>
      </c>
      <c r="C137" s="716" t="s">
        <v>2001</v>
      </c>
      <c r="D137" s="716" t="s">
        <v>798</v>
      </c>
      <c r="E137" s="716" t="s">
        <v>799</v>
      </c>
      <c r="F137" s="720">
        <v>52</v>
      </c>
      <c r="G137" s="720">
        <v>8407.66</v>
      </c>
      <c r="H137" s="745">
        <v>1</v>
      </c>
      <c r="I137" s="720"/>
      <c r="J137" s="720"/>
      <c r="K137" s="745">
        <v>0</v>
      </c>
      <c r="L137" s="720">
        <v>52</v>
      </c>
      <c r="M137" s="721">
        <v>8407.66</v>
      </c>
    </row>
    <row r="138" spans="1:13" ht="14.45" customHeight="1" x14ac:dyDescent="0.2">
      <c r="A138" s="715" t="s">
        <v>531</v>
      </c>
      <c r="B138" s="716" t="s">
        <v>1996</v>
      </c>
      <c r="C138" s="716" t="s">
        <v>2002</v>
      </c>
      <c r="D138" s="716" t="s">
        <v>1375</v>
      </c>
      <c r="E138" s="716" t="s">
        <v>1376</v>
      </c>
      <c r="F138" s="720"/>
      <c r="G138" s="720"/>
      <c r="H138" s="745">
        <v>0</v>
      </c>
      <c r="I138" s="720">
        <v>5</v>
      </c>
      <c r="J138" s="720">
        <v>787.27999999999986</v>
      </c>
      <c r="K138" s="745">
        <v>1</v>
      </c>
      <c r="L138" s="720">
        <v>5</v>
      </c>
      <c r="M138" s="721">
        <v>787.27999999999986</v>
      </c>
    </row>
    <row r="139" spans="1:13" ht="14.45" customHeight="1" x14ac:dyDescent="0.2">
      <c r="A139" s="715" t="s">
        <v>531</v>
      </c>
      <c r="B139" s="716" t="s">
        <v>1996</v>
      </c>
      <c r="C139" s="716" t="s">
        <v>2003</v>
      </c>
      <c r="D139" s="716" t="s">
        <v>1428</v>
      </c>
      <c r="E139" s="716" t="s">
        <v>1385</v>
      </c>
      <c r="F139" s="720">
        <v>1</v>
      </c>
      <c r="G139" s="720">
        <v>146.61000000000001</v>
      </c>
      <c r="H139" s="745">
        <v>1</v>
      </c>
      <c r="I139" s="720"/>
      <c r="J139" s="720"/>
      <c r="K139" s="745">
        <v>0</v>
      </c>
      <c r="L139" s="720">
        <v>1</v>
      </c>
      <c r="M139" s="721">
        <v>146.61000000000001</v>
      </c>
    </row>
    <row r="140" spans="1:13" ht="14.45" customHeight="1" x14ac:dyDescent="0.2">
      <c r="A140" s="715" t="s">
        <v>531</v>
      </c>
      <c r="B140" s="716" t="s">
        <v>1996</v>
      </c>
      <c r="C140" s="716" t="s">
        <v>2004</v>
      </c>
      <c r="D140" s="716" t="s">
        <v>1431</v>
      </c>
      <c r="E140" s="716" t="s">
        <v>1385</v>
      </c>
      <c r="F140" s="720">
        <v>7</v>
      </c>
      <c r="G140" s="720">
        <v>753.18000000000006</v>
      </c>
      <c r="H140" s="745">
        <v>1</v>
      </c>
      <c r="I140" s="720"/>
      <c r="J140" s="720"/>
      <c r="K140" s="745">
        <v>0</v>
      </c>
      <c r="L140" s="720">
        <v>7</v>
      </c>
      <c r="M140" s="721">
        <v>753.18000000000006</v>
      </c>
    </row>
    <row r="141" spans="1:13" ht="14.45" customHeight="1" x14ac:dyDescent="0.2">
      <c r="A141" s="715" t="s">
        <v>531</v>
      </c>
      <c r="B141" s="716" t="s">
        <v>1996</v>
      </c>
      <c r="C141" s="716" t="s">
        <v>2005</v>
      </c>
      <c r="D141" s="716" t="s">
        <v>1430</v>
      </c>
      <c r="E141" s="716" t="s">
        <v>1385</v>
      </c>
      <c r="F141" s="720">
        <v>2</v>
      </c>
      <c r="G141" s="720">
        <v>183.98</v>
      </c>
      <c r="H141" s="745">
        <v>1</v>
      </c>
      <c r="I141" s="720"/>
      <c r="J141" s="720"/>
      <c r="K141" s="745">
        <v>0</v>
      </c>
      <c r="L141" s="720">
        <v>2</v>
      </c>
      <c r="M141" s="721">
        <v>183.98</v>
      </c>
    </row>
    <row r="142" spans="1:13" ht="14.45" customHeight="1" x14ac:dyDescent="0.2">
      <c r="A142" s="715" t="s">
        <v>531</v>
      </c>
      <c r="B142" s="716" t="s">
        <v>1996</v>
      </c>
      <c r="C142" s="716" t="s">
        <v>2006</v>
      </c>
      <c r="D142" s="716" t="s">
        <v>1429</v>
      </c>
      <c r="E142" s="716" t="s">
        <v>1385</v>
      </c>
      <c r="F142" s="720">
        <v>1</v>
      </c>
      <c r="G142" s="720">
        <v>91.990000000000009</v>
      </c>
      <c r="H142" s="745">
        <v>1</v>
      </c>
      <c r="I142" s="720"/>
      <c r="J142" s="720"/>
      <c r="K142" s="745">
        <v>0</v>
      </c>
      <c r="L142" s="720">
        <v>1</v>
      </c>
      <c r="M142" s="721">
        <v>91.990000000000009</v>
      </c>
    </row>
    <row r="143" spans="1:13" ht="14.45" customHeight="1" x14ac:dyDescent="0.2">
      <c r="A143" s="715" t="s">
        <v>531</v>
      </c>
      <c r="B143" s="716" t="s">
        <v>1996</v>
      </c>
      <c r="C143" s="716" t="s">
        <v>2007</v>
      </c>
      <c r="D143" s="716" t="s">
        <v>1392</v>
      </c>
      <c r="E143" s="716" t="s">
        <v>1391</v>
      </c>
      <c r="F143" s="720">
        <v>1</v>
      </c>
      <c r="G143" s="720">
        <v>1380</v>
      </c>
      <c r="H143" s="745">
        <v>1</v>
      </c>
      <c r="I143" s="720"/>
      <c r="J143" s="720"/>
      <c r="K143" s="745">
        <v>0</v>
      </c>
      <c r="L143" s="720">
        <v>1</v>
      </c>
      <c r="M143" s="721">
        <v>1380</v>
      </c>
    </row>
    <row r="144" spans="1:13" ht="14.45" customHeight="1" x14ac:dyDescent="0.2">
      <c r="A144" s="715" t="s">
        <v>531</v>
      </c>
      <c r="B144" s="716" t="s">
        <v>1996</v>
      </c>
      <c r="C144" s="716" t="s">
        <v>2008</v>
      </c>
      <c r="D144" s="716" t="s">
        <v>1426</v>
      </c>
      <c r="E144" s="716" t="s">
        <v>2009</v>
      </c>
      <c r="F144" s="720"/>
      <c r="G144" s="720"/>
      <c r="H144" s="745">
        <v>0</v>
      </c>
      <c r="I144" s="720">
        <v>2</v>
      </c>
      <c r="J144" s="720">
        <v>391.98000000000013</v>
      </c>
      <c r="K144" s="745">
        <v>1</v>
      </c>
      <c r="L144" s="720">
        <v>2</v>
      </c>
      <c r="M144" s="721">
        <v>391.98000000000013</v>
      </c>
    </row>
    <row r="145" spans="1:13" ht="14.45" customHeight="1" x14ac:dyDescent="0.2">
      <c r="A145" s="715" t="s">
        <v>531</v>
      </c>
      <c r="B145" s="716" t="s">
        <v>1996</v>
      </c>
      <c r="C145" s="716" t="s">
        <v>2010</v>
      </c>
      <c r="D145" s="716" t="s">
        <v>1377</v>
      </c>
      <c r="E145" s="716" t="s">
        <v>1378</v>
      </c>
      <c r="F145" s="720"/>
      <c r="G145" s="720"/>
      <c r="H145" s="745">
        <v>0</v>
      </c>
      <c r="I145" s="720">
        <v>102</v>
      </c>
      <c r="J145" s="720">
        <v>4247.2800000000007</v>
      </c>
      <c r="K145" s="745">
        <v>1</v>
      </c>
      <c r="L145" s="720">
        <v>102</v>
      </c>
      <c r="M145" s="721">
        <v>4247.2800000000007</v>
      </c>
    </row>
    <row r="146" spans="1:13" ht="14.45" customHeight="1" x14ac:dyDescent="0.2">
      <c r="A146" s="715" t="s">
        <v>531</v>
      </c>
      <c r="B146" s="716" t="s">
        <v>1996</v>
      </c>
      <c r="C146" s="716" t="s">
        <v>2011</v>
      </c>
      <c r="D146" s="716" t="s">
        <v>1379</v>
      </c>
      <c r="E146" s="716" t="s">
        <v>1378</v>
      </c>
      <c r="F146" s="720"/>
      <c r="G146" s="720"/>
      <c r="H146" s="745">
        <v>0</v>
      </c>
      <c r="I146" s="720">
        <v>152</v>
      </c>
      <c r="J146" s="720">
        <v>6262.079999999999</v>
      </c>
      <c r="K146" s="745">
        <v>1</v>
      </c>
      <c r="L146" s="720">
        <v>152</v>
      </c>
      <c r="M146" s="721">
        <v>6262.079999999999</v>
      </c>
    </row>
    <row r="147" spans="1:13" ht="14.45" customHeight="1" x14ac:dyDescent="0.2">
      <c r="A147" s="715" t="s">
        <v>531</v>
      </c>
      <c r="B147" s="716" t="s">
        <v>1996</v>
      </c>
      <c r="C147" s="716" t="s">
        <v>2012</v>
      </c>
      <c r="D147" s="716" t="s">
        <v>1416</v>
      </c>
      <c r="E147" s="716" t="s">
        <v>2013</v>
      </c>
      <c r="F147" s="720"/>
      <c r="G147" s="720"/>
      <c r="H147" s="745">
        <v>0</v>
      </c>
      <c r="I147" s="720">
        <v>30</v>
      </c>
      <c r="J147" s="720">
        <v>8869.58</v>
      </c>
      <c r="K147" s="745">
        <v>1</v>
      </c>
      <c r="L147" s="720">
        <v>30</v>
      </c>
      <c r="M147" s="721">
        <v>8869.58</v>
      </c>
    </row>
    <row r="148" spans="1:13" ht="14.45" customHeight="1" x14ac:dyDescent="0.2">
      <c r="A148" s="715" t="s">
        <v>531</v>
      </c>
      <c r="B148" s="716" t="s">
        <v>1996</v>
      </c>
      <c r="C148" s="716" t="s">
        <v>2014</v>
      </c>
      <c r="D148" s="716" t="s">
        <v>1412</v>
      </c>
      <c r="E148" s="716" t="s">
        <v>1414</v>
      </c>
      <c r="F148" s="720"/>
      <c r="G148" s="720"/>
      <c r="H148" s="745">
        <v>0</v>
      </c>
      <c r="I148" s="720">
        <v>64</v>
      </c>
      <c r="J148" s="720">
        <v>3556.48</v>
      </c>
      <c r="K148" s="745">
        <v>1</v>
      </c>
      <c r="L148" s="720">
        <v>64</v>
      </c>
      <c r="M148" s="721">
        <v>3556.48</v>
      </c>
    </row>
    <row r="149" spans="1:13" ht="14.45" customHeight="1" x14ac:dyDescent="0.2">
      <c r="A149" s="715" t="s">
        <v>531</v>
      </c>
      <c r="B149" s="716" t="s">
        <v>1996</v>
      </c>
      <c r="C149" s="716" t="s">
        <v>2015</v>
      </c>
      <c r="D149" s="716" t="s">
        <v>1420</v>
      </c>
      <c r="E149" s="716" t="s">
        <v>2013</v>
      </c>
      <c r="F149" s="720"/>
      <c r="G149" s="720"/>
      <c r="H149" s="745">
        <v>0</v>
      </c>
      <c r="I149" s="720">
        <v>8</v>
      </c>
      <c r="J149" s="720">
        <v>1251.9199999999998</v>
      </c>
      <c r="K149" s="745">
        <v>1</v>
      </c>
      <c r="L149" s="720">
        <v>8</v>
      </c>
      <c r="M149" s="721">
        <v>1251.9199999999998</v>
      </c>
    </row>
    <row r="150" spans="1:13" ht="14.45" customHeight="1" x14ac:dyDescent="0.2">
      <c r="A150" s="715" t="s">
        <v>531</v>
      </c>
      <c r="B150" s="716" t="s">
        <v>1996</v>
      </c>
      <c r="C150" s="716" t="s">
        <v>2016</v>
      </c>
      <c r="D150" s="716" t="s">
        <v>1388</v>
      </c>
      <c r="E150" s="716" t="s">
        <v>1376</v>
      </c>
      <c r="F150" s="720">
        <v>8</v>
      </c>
      <c r="G150" s="720">
        <v>993.59999999999991</v>
      </c>
      <c r="H150" s="745">
        <v>1</v>
      </c>
      <c r="I150" s="720"/>
      <c r="J150" s="720"/>
      <c r="K150" s="745">
        <v>0</v>
      </c>
      <c r="L150" s="720">
        <v>8</v>
      </c>
      <c r="M150" s="721">
        <v>993.59999999999991</v>
      </c>
    </row>
    <row r="151" spans="1:13" ht="14.45" customHeight="1" x14ac:dyDescent="0.2">
      <c r="A151" s="715" t="s">
        <v>531</v>
      </c>
      <c r="B151" s="716" t="s">
        <v>1996</v>
      </c>
      <c r="C151" s="716" t="s">
        <v>2017</v>
      </c>
      <c r="D151" s="716" t="s">
        <v>1387</v>
      </c>
      <c r="E151" s="716" t="s">
        <v>1376</v>
      </c>
      <c r="F151" s="720">
        <v>3</v>
      </c>
      <c r="G151" s="720">
        <v>372.59999999999997</v>
      </c>
      <c r="H151" s="745">
        <v>1</v>
      </c>
      <c r="I151" s="720"/>
      <c r="J151" s="720"/>
      <c r="K151" s="745">
        <v>0</v>
      </c>
      <c r="L151" s="720">
        <v>3</v>
      </c>
      <c r="M151" s="721">
        <v>372.59999999999997</v>
      </c>
    </row>
    <row r="152" spans="1:13" ht="14.45" customHeight="1" x14ac:dyDescent="0.2">
      <c r="A152" s="715" t="s">
        <v>531</v>
      </c>
      <c r="B152" s="716" t="s">
        <v>1996</v>
      </c>
      <c r="C152" s="716" t="s">
        <v>2018</v>
      </c>
      <c r="D152" s="716" t="s">
        <v>1393</v>
      </c>
      <c r="E152" s="716" t="s">
        <v>1376</v>
      </c>
      <c r="F152" s="720">
        <v>2</v>
      </c>
      <c r="G152" s="720">
        <v>218.89999999999995</v>
      </c>
      <c r="H152" s="745">
        <v>1</v>
      </c>
      <c r="I152" s="720"/>
      <c r="J152" s="720"/>
      <c r="K152" s="745">
        <v>0</v>
      </c>
      <c r="L152" s="720">
        <v>2</v>
      </c>
      <c r="M152" s="721">
        <v>218.89999999999995</v>
      </c>
    </row>
    <row r="153" spans="1:13" ht="14.45" customHeight="1" x14ac:dyDescent="0.2">
      <c r="A153" s="715" t="s">
        <v>531</v>
      </c>
      <c r="B153" s="716" t="s">
        <v>1996</v>
      </c>
      <c r="C153" s="716" t="s">
        <v>2019</v>
      </c>
      <c r="D153" s="716" t="s">
        <v>1399</v>
      </c>
      <c r="E153" s="716" t="s">
        <v>1385</v>
      </c>
      <c r="F153" s="720"/>
      <c r="G153" s="720"/>
      <c r="H153" s="745">
        <v>0</v>
      </c>
      <c r="I153" s="720">
        <v>19</v>
      </c>
      <c r="J153" s="720">
        <v>1991.5500000000002</v>
      </c>
      <c r="K153" s="745">
        <v>1</v>
      </c>
      <c r="L153" s="720">
        <v>19</v>
      </c>
      <c r="M153" s="721">
        <v>1991.5500000000002</v>
      </c>
    </row>
    <row r="154" spans="1:13" ht="14.45" customHeight="1" x14ac:dyDescent="0.2">
      <c r="A154" s="715" t="s">
        <v>531</v>
      </c>
      <c r="B154" s="716" t="s">
        <v>1996</v>
      </c>
      <c r="C154" s="716" t="s">
        <v>2020</v>
      </c>
      <c r="D154" s="716" t="s">
        <v>1404</v>
      </c>
      <c r="E154" s="716" t="s">
        <v>1385</v>
      </c>
      <c r="F154" s="720"/>
      <c r="G154" s="720"/>
      <c r="H154" s="745">
        <v>0</v>
      </c>
      <c r="I154" s="720">
        <v>19</v>
      </c>
      <c r="J154" s="720">
        <v>1982.3000000000002</v>
      </c>
      <c r="K154" s="745">
        <v>1</v>
      </c>
      <c r="L154" s="720">
        <v>19</v>
      </c>
      <c r="M154" s="721">
        <v>1982.3000000000002</v>
      </c>
    </row>
    <row r="155" spans="1:13" ht="14.45" customHeight="1" x14ac:dyDescent="0.2">
      <c r="A155" s="715" t="s">
        <v>531</v>
      </c>
      <c r="B155" s="716" t="s">
        <v>1996</v>
      </c>
      <c r="C155" s="716" t="s">
        <v>2021</v>
      </c>
      <c r="D155" s="716" t="s">
        <v>1401</v>
      </c>
      <c r="E155" s="716" t="s">
        <v>1385</v>
      </c>
      <c r="F155" s="720"/>
      <c r="G155" s="720"/>
      <c r="H155" s="745">
        <v>0</v>
      </c>
      <c r="I155" s="720">
        <v>12</v>
      </c>
      <c r="J155" s="720">
        <v>1244.8499999999999</v>
      </c>
      <c r="K155" s="745">
        <v>1</v>
      </c>
      <c r="L155" s="720">
        <v>12</v>
      </c>
      <c r="M155" s="721">
        <v>1244.8499999999999</v>
      </c>
    </row>
    <row r="156" spans="1:13" ht="14.45" customHeight="1" x14ac:dyDescent="0.2">
      <c r="A156" s="715" t="s">
        <v>531</v>
      </c>
      <c r="B156" s="716" t="s">
        <v>1996</v>
      </c>
      <c r="C156" s="716" t="s">
        <v>2022</v>
      </c>
      <c r="D156" s="716" t="s">
        <v>2023</v>
      </c>
      <c r="E156" s="716" t="s">
        <v>1385</v>
      </c>
      <c r="F156" s="720"/>
      <c r="G156" s="720"/>
      <c r="H156" s="745">
        <v>0</v>
      </c>
      <c r="I156" s="720">
        <v>8</v>
      </c>
      <c r="J156" s="720">
        <v>864.80000000000007</v>
      </c>
      <c r="K156" s="745">
        <v>1</v>
      </c>
      <c r="L156" s="720">
        <v>8</v>
      </c>
      <c r="M156" s="721">
        <v>864.80000000000007</v>
      </c>
    </row>
    <row r="157" spans="1:13" ht="14.45" customHeight="1" x14ac:dyDescent="0.2">
      <c r="A157" s="715" t="s">
        <v>531</v>
      </c>
      <c r="B157" s="716" t="s">
        <v>1996</v>
      </c>
      <c r="C157" s="716" t="s">
        <v>2024</v>
      </c>
      <c r="D157" s="716" t="s">
        <v>1411</v>
      </c>
      <c r="E157" s="716" t="s">
        <v>1376</v>
      </c>
      <c r="F157" s="720"/>
      <c r="G157" s="720"/>
      <c r="H157" s="745">
        <v>0</v>
      </c>
      <c r="I157" s="720">
        <v>23</v>
      </c>
      <c r="J157" s="720">
        <v>2837.8900000000003</v>
      </c>
      <c r="K157" s="745">
        <v>1</v>
      </c>
      <c r="L157" s="720">
        <v>23</v>
      </c>
      <c r="M157" s="721">
        <v>2837.8900000000003</v>
      </c>
    </row>
    <row r="158" spans="1:13" ht="14.45" customHeight="1" x14ac:dyDescent="0.2">
      <c r="A158" s="715" t="s">
        <v>531</v>
      </c>
      <c r="B158" s="716" t="s">
        <v>1996</v>
      </c>
      <c r="C158" s="716" t="s">
        <v>2025</v>
      </c>
      <c r="D158" s="716" t="s">
        <v>1409</v>
      </c>
      <c r="E158" s="716" t="s">
        <v>1376</v>
      </c>
      <c r="F158" s="720"/>
      <c r="G158" s="720"/>
      <c r="H158" s="745">
        <v>0</v>
      </c>
      <c r="I158" s="720">
        <v>26</v>
      </c>
      <c r="J158" s="720">
        <v>3205.96</v>
      </c>
      <c r="K158" s="745">
        <v>1</v>
      </c>
      <c r="L158" s="720">
        <v>26</v>
      </c>
      <c r="M158" s="721">
        <v>3205.96</v>
      </c>
    </row>
    <row r="159" spans="1:13" ht="14.45" customHeight="1" x14ac:dyDescent="0.2">
      <c r="A159" s="715" t="s">
        <v>531</v>
      </c>
      <c r="B159" s="716" t="s">
        <v>1996</v>
      </c>
      <c r="C159" s="716" t="s">
        <v>2026</v>
      </c>
      <c r="D159" s="716" t="s">
        <v>1407</v>
      </c>
      <c r="E159" s="716" t="s">
        <v>1376</v>
      </c>
      <c r="F159" s="720"/>
      <c r="G159" s="720"/>
      <c r="H159" s="745">
        <v>0</v>
      </c>
      <c r="I159" s="720">
        <v>1</v>
      </c>
      <c r="J159" s="720">
        <v>145.5</v>
      </c>
      <c r="K159" s="745">
        <v>1</v>
      </c>
      <c r="L159" s="720">
        <v>1</v>
      </c>
      <c r="M159" s="721">
        <v>145.5</v>
      </c>
    </row>
    <row r="160" spans="1:13" ht="14.45" customHeight="1" x14ac:dyDescent="0.2">
      <c r="A160" s="715" t="s">
        <v>531</v>
      </c>
      <c r="B160" s="716" t="s">
        <v>1996</v>
      </c>
      <c r="C160" s="716" t="s">
        <v>2027</v>
      </c>
      <c r="D160" s="716" t="s">
        <v>2028</v>
      </c>
      <c r="E160" s="716" t="s">
        <v>1398</v>
      </c>
      <c r="F160" s="720"/>
      <c r="G160" s="720"/>
      <c r="H160" s="745">
        <v>0</v>
      </c>
      <c r="I160" s="720">
        <v>7</v>
      </c>
      <c r="J160" s="720">
        <v>1282.05</v>
      </c>
      <c r="K160" s="745">
        <v>1</v>
      </c>
      <c r="L160" s="720">
        <v>7</v>
      </c>
      <c r="M160" s="721">
        <v>1282.05</v>
      </c>
    </row>
    <row r="161" spans="1:13" ht="14.45" customHeight="1" x14ac:dyDescent="0.2">
      <c r="A161" s="715" t="s">
        <v>531</v>
      </c>
      <c r="B161" s="716" t="s">
        <v>1996</v>
      </c>
      <c r="C161" s="716" t="s">
        <v>2029</v>
      </c>
      <c r="D161" s="716" t="s">
        <v>1406</v>
      </c>
      <c r="E161" s="716" t="s">
        <v>1376</v>
      </c>
      <c r="F161" s="720"/>
      <c r="G161" s="720"/>
      <c r="H161" s="745">
        <v>0</v>
      </c>
      <c r="I161" s="720">
        <v>26</v>
      </c>
      <c r="J161" s="720">
        <v>3762.17</v>
      </c>
      <c r="K161" s="745">
        <v>1</v>
      </c>
      <c r="L161" s="720">
        <v>26</v>
      </c>
      <c r="M161" s="721">
        <v>3762.17</v>
      </c>
    </row>
    <row r="162" spans="1:13" ht="14.45" customHeight="1" x14ac:dyDescent="0.2">
      <c r="A162" s="715" t="s">
        <v>531</v>
      </c>
      <c r="B162" s="716" t="s">
        <v>1996</v>
      </c>
      <c r="C162" s="716" t="s">
        <v>2030</v>
      </c>
      <c r="D162" s="716" t="s">
        <v>1405</v>
      </c>
      <c r="E162" s="716" t="s">
        <v>1376</v>
      </c>
      <c r="F162" s="720"/>
      <c r="G162" s="720"/>
      <c r="H162" s="745">
        <v>0</v>
      </c>
      <c r="I162" s="720">
        <v>28</v>
      </c>
      <c r="J162" s="720">
        <v>3730.76</v>
      </c>
      <c r="K162" s="745">
        <v>1</v>
      </c>
      <c r="L162" s="720">
        <v>28</v>
      </c>
      <c r="M162" s="721">
        <v>3730.76</v>
      </c>
    </row>
    <row r="163" spans="1:13" ht="14.45" customHeight="1" x14ac:dyDescent="0.2">
      <c r="A163" s="715" t="s">
        <v>531</v>
      </c>
      <c r="B163" s="716" t="s">
        <v>1996</v>
      </c>
      <c r="C163" s="716" t="s">
        <v>2031</v>
      </c>
      <c r="D163" s="716" t="s">
        <v>1384</v>
      </c>
      <c r="E163" s="716" t="s">
        <v>1385</v>
      </c>
      <c r="F163" s="720">
        <v>3</v>
      </c>
      <c r="G163" s="720">
        <v>345</v>
      </c>
      <c r="H163" s="745">
        <v>1</v>
      </c>
      <c r="I163" s="720"/>
      <c r="J163" s="720"/>
      <c r="K163" s="745">
        <v>0</v>
      </c>
      <c r="L163" s="720">
        <v>3</v>
      </c>
      <c r="M163" s="721">
        <v>345</v>
      </c>
    </row>
    <row r="164" spans="1:13" ht="14.45" customHeight="1" x14ac:dyDescent="0.2">
      <c r="A164" s="715" t="s">
        <v>531</v>
      </c>
      <c r="B164" s="716" t="s">
        <v>1996</v>
      </c>
      <c r="C164" s="716" t="s">
        <v>2032</v>
      </c>
      <c r="D164" s="716" t="s">
        <v>1386</v>
      </c>
      <c r="E164" s="716" t="s">
        <v>1385</v>
      </c>
      <c r="F164" s="720">
        <v>9</v>
      </c>
      <c r="G164" s="720">
        <v>1110.78</v>
      </c>
      <c r="H164" s="745">
        <v>1</v>
      </c>
      <c r="I164" s="720"/>
      <c r="J164" s="720"/>
      <c r="K164" s="745">
        <v>0</v>
      </c>
      <c r="L164" s="720">
        <v>9</v>
      </c>
      <c r="M164" s="721">
        <v>1110.78</v>
      </c>
    </row>
    <row r="165" spans="1:13" ht="14.45" customHeight="1" x14ac:dyDescent="0.2">
      <c r="A165" s="715" t="s">
        <v>531</v>
      </c>
      <c r="B165" s="716" t="s">
        <v>1996</v>
      </c>
      <c r="C165" s="716" t="s">
        <v>2033</v>
      </c>
      <c r="D165" s="716" t="s">
        <v>1410</v>
      </c>
      <c r="E165" s="716" t="s">
        <v>1378</v>
      </c>
      <c r="F165" s="720"/>
      <c r="G165" s="720"/>
      <c r="H165" s="745">
        <v>0</v>
      </c>
      <c r="I165" s="720">
        <v>17</v>
      </c>
      <c r="J165" s="720">
        <v>521.3900000000001</v>
      </c>
      <c r="K165" s="745">
        <v>1</v>
      </c>
      <c r="L165" s="720">
        <v>17</v>
      </c>
      <c r="M165" s="721">
        <v>521.3900000000001</v>
      </c>
    </row>
    <row r="166" spans="1:13" ht="14.45" customHeight="1" thickBot="1" x14ac:dyDescent="0.25">
      <c r="A166" s="722" t="s">
        <v>531</v>
      </c>
      <c r="B166" s="723" t="s">
        <v>1996</v>
      </c>
      <c r="C166" s="723" t="s">
        <v>2034</v>
      </c>
      <c r="D166" s="723" t="s">
        <v>1408</v>
      </c>
      <c r="E166" s="723" t="s">
        <v>1378</v>
      </c>
      <c r="F166" s="727"/>
      <c r="G166" s="727"/>
      <c r="H166" s="735">
        <v>0</v>
      </c>
      <c r="I166" s="727">
        <v>8</v>
      </c>
      <c r="J166" s="727">
        <v>245.35999999999993</v>
      </c>
      <c r="K166" s="735">
        <v>1</v>
      </c>
      <c r="L166" s="727">
        <v>8</v>
      </c>
      <c r="M166" s="728">
        <v>245.35999999999993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43" priority="4" operator="greaterThan">
      <formula>0.1</formula>
    </cfRule>
  </conditionalFormatting>
  <hyperlinks>
    <hyperlink ref="A2" location="Obsah!A1" display="Zpět na Obsah  KL 01  1.-4.měsíc" xr:uid="{F1CADEE5-EDF9-48B2-8958-B23EF8B3F506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382" customWidth="1"/>
    <col min="2" max="2" width="5.42578125" style="313" bestFit="1" customWidth="1"/>
    <col min="3" max="3" width="6.140625" style="313" bestFit="1" customWidth="1"/>
    <col min="4" max="4" width="7.42578125" style="313" bestFit="1" customWidth="1"/>
    <col min="5" max="5" width="6.28515625" style="313" bestFit="1" customWidth="1"/>
    <col min="6" max="6" width="6.28515625" style="316" bestFit="1" customWidth="1"/>
    <col min="7" max="7" width="6.140625" style="316" bestFit="1" customWidth="1"/>
    <col min="8" max="8" width="7.42578125" style="316" bestFit="1" customWidth="1"/>
    <col min="9" max="9" width="6.28515625" style="316" bestFit="1" customWidth="1"/>
    <col min="10" max="10" width="5.42578125" style="313" bestFit="1" customWidth="1"/>
    <col min="11" max="11" width="6.140625" style="313" bestFit="1" customWidth="1"/>
    <col min="12" max="12" width="7.42578125" style="313" bestFit="1" customWidth="1"/>
    <col min="13" max="13" width="6.28515625" style="313" bestFit="1" customWidth="1"/>
    <col min="14" max="14" width="5.28515625" style="316" bestFit="1" customWidth="1"/>
    <col min="15" max="15" width="6.140625" style="316" bestFit="1" customWidth="1"/>
    <col min="16" max="16" width="7.42578125" style="316" bestFit="1" customWidth="1"/>
    <col min="17" max="17" width="6.28515625" style="316" bestFit="1" customWidth="1"/>
    <col min="18" max="16384" width="8.85546875" style="233"/>
  </cols>
  <sheetData>
    <row r="1" spans="1:17" ht="18.600000000000001" customHeight="1" thickBot="1" x14ac:dyDescent="0.35">
      <c r="A1" s="531" t="s">
        <v>218</v>
      </c>
      <c r="B1" s="531"/>
      <c r="C1" s="531"/>
      <c r="D1" s="531"/>
      <c r="E1" s="531"/>
      <c r="F1" s="493"/>
      <c r="G1" s="493"/>
      <c r="H1" s="493"/>
      <c r="I1" s="493"/>
      <c r="J1" s="524"/>
      <c r="K1" s="524"/>
      <c r="L1" s="524"/>
      <c r="M1" s="524"/>
      <c r="N1" s="524"/>
      <c r="O1" s="524"/>
      <c r="P1" s="524"/>
      <c r="Q1" s="524"/>
    </row>
    <row r="2" spans="1:17" ht="14.45" customHeight="1" thickBot="1" x14ac:dyDescent="0.25">
      <c r="A2" s="666" t="s">
        <v>305</v>
      </c>
      <c r="B2" s="320"/>
      <c r="C2" s="320"/>
      <c r="D2" s="320"/>
      <c r="E2" s="320"/>
    </row>
    <row r="3" spans="1:17" ht="14.45" customHeight="1" thickBot="1" x14ac:dyDescent="0.25">
      <c r="A3" s="371" t="s">
        <v>3</v>
      </c>
      <c r="B3" s="375">
        <f>SUM(B6:B1048576)</f>
        <v>2772</v>
      </c>
      <c r="C3" s="376">
        <f>SUM(C6:C1048576)</f>
        <v>831</v>
      </c>
      <c r="D3" s="376">
        <f>SUM(D6:D1048576)</f>
        <v>1740</v>
      </c>
      <c r="E3" s="377">
        <f>SUM(E6:E1048576)</f>
        <v>0</v>
      </c>
      <c r="F3" s="374">
        <f>IF(SUM($B3:$E3)=0,"",B3/SUM($B3:$E3))</f>
        <v>0.51880965749578889</v>
      </c>
      <c r="G3" s="372">
        <f t="shared" ref="G3:I3" si="0">IF(SUM($B3:$E3)=0,"",C3/SUM($B3:$E3))</f>
        <v>0.15553060078607525</v>
      </c>
      <c r="H3" s="372">
        <f t="shared" si="0"/>
        <v>0.32565974171813589</v>
      </c>
      <c r="I3" s="373">
        <f t="shared" si="0"/>
        <v>0</v>
      </c>
      <c r="J3" s="376">
        <f>SUM(J6:J1048576)</f>
        <v>172</v>
      </c>
      <c r="K3" s="376">
        <f>SUM(K6:K1048576)</f>
        <v>361</v>
      </c>
      <c r="L3" s="376">
        <f>SUM(L6:L1048576)</f>
        <v>1740</v>
      </c>
      <c r="M3" s="377">
        <f>SUM(M6:M1048576)</f>
        <v>0</v>
      </c>
      <c r="N3" s="374">
        <f>IF(SUM($J3:$M3)=0,"",J3/SUM($J3:$M3))</f>
        <v>7.5670919489661245E-2</v>
      </c>
      <c r="O3" s="372">
        <f t="shared" ref="O3:Q3" si="1">IF(SUM($J3:$M3)=0,"",K3/SUM($J3:$M3))</f>
        <v>0.15882094148702156</v>
      </c>
      <c r="P3" s="372">
        <f t="shared" si="1"/>
        <v>0.76550813902331716</v>
      </c>
      <c r="Q3" s="373">
        <f t="shared" si="1"/>
        <v>0</v>
      </c>
    </row>
    <row r="4" spans="1:17" ht="14.45" customHeight="1" thickBot="1" x14ac:dyDescent="0.25">
      <c r="A4" s="370"/>
      <c r="B4" s="544" t="s">
        <v>220</v>
      </c>
      <c r="C4" s="545"/>
      <c r="D4" s="545"/>
      <c r="E4" s="546"/>
      <c r="F4" s="541" t="s">
        <v>225</v>
      </c>
      <c r="G4" s="542"/>
      <c r="H4" s="542"/>
      <c r="I4" s="543"/>
      <c r="J4" s="544" t="s">
        <v>226</v>
      </c>
      <c r="K4" s="545"/>
      <c r="L4" s="545"/>
      <c r="M4" s="546"/>
      <c r="N4" s="541" t="s">
        <v>227</v>
      </c>
      <c r="O4" s="542"/>
      <c r="P4" s="542"/>
      <c r="Q4" s="543"/>
    </row>
    <row r="5" spans="1:17" ht="14.45" customHeight="1" thickBot="1" x14ac:dyDescent="0.25">
      <c r="A5" s="755" t="s">
        <v>219</v>
      </c>
      <c r="B5" s="756" t="s">
        <v>221</v>
      </c>
      <c r="C5" s="756" t="s">
        <v>222</v>
      </c>
      <c r="D5" s="756" t="s">
        <v>223</v>
      </c>
      <c r="E5" s="757" t="s">
        <v>224</v>
      </c>
      <c r="F5" s="758" t="s">
        <v>221</v>
      </c>
      <c r="G5" s="759" t="s">
        <v>222</v>
      </c>
      <c r="H5" s="759" t="s">
        <v>223</v>
      </c>
      <c r="I5" s="760" t="s">
        <v>224</v>
      </c>
      <c r="J5" s="756" t="s">
        <v>221</v>
      </c>
      <c r="K5" s="756" t="s">
        <v>222</v>
      </c>
      <c r="L5" s="756" t="s">
        <v>223</v>
      </c>
      <c r="M5" s="757" t="s">
        <v>224</v>
      </c>
      <c r="N5" s="758" t="s">
        <v>221</v>
      </c>
      <c r="O5" s="759" t="s">
        <v>222</v>
      </c>
      <c r="P5" s="759" t="s">
        <v>223</v>
      </c>
      <c r="Q5" s="760" t="s">
        <v>224</v>
      </c>
    </row>
    <row r="6" spans="1:17" ht="14.45" customHeight="1" x14ac:dyDescent="0.2">
      <c r="A6" s="763" t="s">
        <v>2036</v>
      </c>
      <c r="B6" s="767"/>
      <c r="C6" s="713"/>
      <c r="D6" s="713"/>
      <c r="E6" s="714"/>
      <c r="F6" s="765"/>
      <c r="G6" s="734"/>
      <c r="H6" s="734"/>
      <c r="I6" s="769"/>
      <c r="J6" s="767"/>
      <c r="K6" s="713"/>
      <c r="L6" s="713"/>
      <c r="M6" s="714"/>
      <c r="N6" s="765"/>
      <c r="O6" s="734"/>
      <c r="P6" s="734"/>
      <c r="Q6" s="761"/>
    </row>
    <row r="7" spans="1:17" ht="14.45" customHeight="1" thickBot="1" x14ac:dyDescent="0.25">
      <c r="A7" s="764" t="s">
        <v>1564</v>
      </c>
      <c r="B7" s="768">
        <v>2772</v>
      </c>
      <c r="C7" s="727">
        <v>831</v>
      </c>
      <c r="D7" s="727">
        <v>1740</v>
      </c>
      <c r="E7" s="728"/>
      <c r="F7" s="766">
        <v>0.51880965749578889</v>
      </c>
      <c r="G7" s="735">
        <v>0.15553060078607525</v>
      </c>
      <c r="H7" s="735">
        <v>0.32565974171813589</v>
      </c>
      <c r="I7" s="770">
        <v>0</v>
      </c>
      <c r="J7" s="768">
        <v>172</v>
      </c>
      <c r="K7" s="727">
        <v>361</v>
      </c>
      <c r="L7" s="727">
        <v>1740</v>
      </c>
      <c r="M7" s="728"/>
      <c r="N7" s="766">
        <v>7.5670919489661245E-2</v>
      </c>
      <c r="O7" s="735">
        <v>0.15882094148702156</v>
      </c>
      <c r="P7" s="735">
        <v>0.76550813902331716</v>
      </c>
      <c r="Q7" s="76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2" priority="1" operator="greaterThan">
      <formula>0.3</formula>
    </cfRule>
  </conditionalFormatting>
  <hyperlinks>
    <hyperlink ref="A2" location="Obsah!A1" display="Zpět na Obsah  KL 01  1.-4.měsíc" xr:uid="{F621E412-A7AB-4194-88A3-1C6AE839B680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14" customWidth="1"/>
    <col min="2" max="2" width="61.140625" style="314" customWidth="1"/>
    <col min="3" max="3" width="9.5703125" style="233" hidden="1" customWidth="1" outlineLevel="1"/>
    <col min="4" max="4" width="9.5703125" style="315" customWidth="1" collapsed="1"/>
    <col min="5" max="5" width="2.28515625" style="315" customWidth="1"/>
    <col min="6" max="6" width="9.5703125" style="316" customWidth="1"/>
    <col min="7" max="7" width="9.5703125" style="313" customWidth="1"/>
    <col min="8" max="9" width="9.5703125" style="233" customWidth="1"/>
    <col min="10" max="10" width="0" style="233" hidden="1" customWidth="1"/>
    <col min="11" max="16384" width="8.85546875" style="233"/>
  </cols>
  <sheetData>
    <row r="1" spans="1:10" ht="18.600000000000001" customHeight="1" thickBot="1" x14ac:dyDescent="0.35">
      <c r="A1" s="522" t="s">
        <v>161</v>
      </c>
      <c r="B1" s="523"/>
      <c r="C1" s="523"/>
      <c r="D1" s="523"/>
      <c r="E1" s="523"/>
      <c r="F1" s="523"/>
      <c r="G1" s="493"/>
      <c r="H1" s="524"/>
      <c r="I1" s="524"/>
    </row>
    <row r="2" spans="1:10" ht="14.45" customHeight="1" thickBot="1" x14ac:dyDescent="0.25">
      <c r="A2" s="666" t="s">
        <v>305</v>
      </c>
      <c r="B2" s="312"/>
      <c r="C2" s="312"/>
      <c r="D2" s="312"/>
      <c r="E2" s="312"/>
      <c r="F2" s="312"/>
    </row>
    <row r="3" spans="1:10" ht="14.45" customHeight="1" thickBot="1" x14ac:dyDescent="0.25">
      <c r="A3" s="351"/>
      <c r="B3" s="417"/>
      <c r="C3" s="357">
        <v>2015</v>
      </c>
      <c r="D3" s="358">
        <v>2018</v>
      </c>
      <c r="E3" s="11"/>
      <c r="F3" s="501">
        <v>2019</v>
      </c>
      <c r="G3" s="519"/>
      <c r="H3" s="519"/>
      <c r="I3" s="502"/>
    </row>
    <row r="4" spans="1:10" ht="14.45" customHeight="1" thickBot="1" x14ac:dyDescent="0.25">
      <c r="A4" s="362" t="s">
        <v>0</v>
      </c>
      <c r="B4" s="363" t="s">
        <v>216</v>
      </c>
      <c r="C4" s="520" t="s">
        <v>80</v>
      </c>
      <c r="D4" s="521"/>
      <c r="E4" s="364"/>
      <c r="F4" s="359" t="s">
        <v>80</v>
      </c>
      <c r="G4" s="360" t="s">
        <v>81</v>
      </c>
      <c r="H4" s="360" t="s">
        <v>55</v>
      </c>
      <c r="I4" s="361" t="s">
        <v>82</v>
      </c>
    </row>
    <row r="5" spans="1:10" ht="14.45" customHeight="1" x14ac:dyDescent="0.2">
      <c r="A5" s="695" t="s">
        <v>518</v>
      </c>
      <c r="B5" s="696" t="s">
        <v>519</v>
      </c>
      <c r="C5" s="697" t="s">
        <v>520</v>
      </c>
      <c r="D5" s="697" t="s">
        <v>520</v>
      </c>
      <c r="E5" s="697"/>
      <c r="F5" s="697" t="s">
        <v>520</v>
      </c>
      <c r="G5" s="697" t="s">
        <v>520</v>
      </c>
      <c r="H5" s="697" t="s">
        <v>520</v>
      </c>
      <c r="I5" s="698" t="s">
        <v>520</v>
      </c>
      <c r="J5" s="699" t="s">
        <v>60</v>
      </c>
    </row>
    <row r="6" spans="1:10" ht="14.45" customHeight="1" x14ac:dyDescent="0.2">
      <c r="A6" s="695" t="s">
        <v>518</v>
      </c>
      <c r="B6" s="696" t="s">
        <v>2037</v>
      </c>
      <c r="C6" s="697">
        <v>483.67181999999997</v>
      </c>
      <c r="D6" s="697">
        <v>469.35456999999997</v>
      </c>
      <c r="E6" s="697"/>
      <c r="F6" s="697">
        <v>475.8666399999999</v>
      </c>
      <c r="G6" s="697">
        <v>450</v>
      </c>
      <c r="H6" s="697">
        <v>25.866639999999904</v>
      </c>
      <c r="I6" s="698">
        <v>1.057481422222222</v>
      </c>
      <c r="J6" s="699" t="s">
        <v>1</v>
      </c>
    </row>
    <row r="7" spans="1:10" ht="14.45" customHeight="1" x14ac:dyDescent="0.2">
      <c r="A7" s="695" t="s">
        <v>518</v>
      </c>
      <c r="B7" s="696" t="s">
        <v>2038</v>
      </c>
      <c r="C7" s="697">
        <v>0.76831000000000016</v>
      </c>
      <c r="D7" s="697">
        <v>0.44218999999999997</v>
      </c>
      <c r="E7" s="697"/>
      <c r="F7" s="697">
        <v>0.46629000000000004</v>
      </c>
      <c r="G7" s="697">
        <v>1</v>
      </c>
      <c r="H7" s="697">
        <v>-0.53370999999999991</v>
      </c>
      <c r="I7" s="698">
        <v>0.46629000000000004</v>
      </c>
      <c r="J7" s="699" t="s">
        <v>1</v>
      </c>
    </row>
    <row r="8" spans="1:10" ht="14.45" customHeight="1" x14ac:dyDescent="0.2">
      <c r="A8" s="695" t="s">
        <v>518</v>
      </c>
      <c r="B8" s="696" t="s">
        <v>2039</v>
      </c>
      <c r="C8" s="697">
        <v>423.44694999999996</v>
      </c>
      <c r="D8" s="697">
        <v>500.1601099999998</v>
      </c>
      <c r="E8" s="697"/>
      <c r="F8" s="697">
        <v>463.39669999999984</v>
      </c>
      <c r="G8" s="697">
        <v>510</v>
      </c>
      <c r="H8" s="697">
        <v>-46.603300000000161</v>
      </c>
      <c r="I8" s="698">
        <v>0.90862098039215655</v>
      </c>
      <c r="J8" s="699" t="s">
        <v>1</v>
      </c>
    </row>
    <row r="9" spans="1:10" ht="14.45" customHeight="1" x14ac:dyDescent="0.2">
      <c r="A9" s="695" t="s">
        <v>518</v>
      </c>
      <c r="B9" s="696" t="s">
        <v>2040</v>
      </c>
      <c r="C9" s="697">
        <v>2648.7423399999998</v>
      </c>
      <c r="D9" s="697">
        <v>2819.4980400000004</v>
      </c>
      <c r="E9" s="697"/>
      <c r="F9" s="697">
        <v>2708.6040199999993</v>
      </c>
      <c r="G9" s="697">
        <v>2800</v>
      </c>
      <c r="H9" s="697">
        <v>-91.395980000000691</v>
      </c>
      <c r="I9" s="698">
        <v>0.96735857857142837</v>
      </c>
      <c r="J9" s="699" t="s">
        <v>1</v>
      </c>
    </row>
    <row r="10" spans="1:10" ht="14.45" customHeight="1" x14ac:dyDescent="0.2">
      <c r="A10" s="695" t="s">
        <v>518</v>
      </c>
      <c r="B10" s="696" t="s">
        <v>2041</v>
      </c>
      <c r="C10" s="697">
        <v>187.33112</v>
      </c>
      <c r="D10" s="697">
        <v>143.65316999999999</v>
      </c>
      <c r="E10" s="697"/>
      <c r="F10" s="697">
        <v>340.15578000000005</v>
      </c>
      <c r="G10" s="697">
        <v>180</v>
      </c>
      <c r="H10" s="697">
        <v>160.15578000000005</v>
      </c>
      <c r="I10" s="698">
        <v>1.8897543333333335</v>
      </c>
      <c r="J10" s="699" t="s">
        <v>1</v>
      </c>
    </row>
    <row r="11" spans="1:10" ht="14.45" customHeight="1" x14ac:dyDescent="0.2">
      <c r="A11" s="695" t="s">
        <v>518</v>
      </c>
      <c r="B11" s="696" t="s">
        <v>2042</v>
      </c>
      <c r="C11" s="697">
        <v>20.584780000000006</v>
      </c>
      <c r="D11" s="697">
        <v>16.133610000000001</v>
      </c>
      <c r="E11" s="697"/>
      <c r="F11" s="697">
        <v>27.160439999999994</v>
      </c>
      <c r="G11" s="697">
        <v>20</v>
      </c>
      <c r="H11" s="697">
        <v>7.1604399999999941</v>
      </c>
      <c r="I11" s="698">
        <v>1.3580219999999996</v>
      </c>
      <c r="J11" s="699" t="s">
        <v>1</v>
      </c>
    </row>
    <row r="12" spans="1:10" ht="14.45" customHeight="1" x14ac:dyDescent="0.2">
      <c r="A12" s="695" t="s">
        <v>518</v>
      </c>
      <c r="B12" s="696" t="s">
        <v>2043</v>
      </c>
      <c r="C12" s="697">
        <v>26.305239999999998</v>
      </c>
      <c r="D12" s="697">
        <v>29.267720000000001</v>
      </c>
      <c r="E12" s="697"/>
      <c r="F12" s="697">
        <v>27.074780000000001</v>
      </c>
      <c r="G12" s="697">
        <v>40</v>
      </c>
      <c r="H12" s="697">
        <v>-12.925219999999999</v>
      </c>
      <c r="I12" s="698">
        <v>0.67686950000000001</v>
      </c>
      <c r="J12" s="699" t="s">
        <v>1</v>
      </c>
    </row>
    <row r="13" spans="1:10" ht="14.45" customHeight="1" x14ac:dyDescent="0.2">
      <c r="A13" s="695" t="s">
        <v>518</v>
      </c>
      <c r="B13" s="696" t="s">
        <v>2044</v>
      </c>
      <c r="C13" s="697">
        <v>225.77780000000001</v>
      </c>
      <c r="D13" s="697">
        <v>220.77875000000003</v>
      </c>
      <c r="E13" s="697"/>
      <c r="F13" s="697">
        <v>208.10473999999999</v>
      </c>
      <c r="G13" s="697">
        <v>246</v>
      </c>
      <c r="H13" s="697">
        <v>-37.895260000000007</v>
      </c>
      <c r="I13" s="698">
        <v>0.84595422764227635</v>
      </c>
      <c r="J13" s="699" t="s">
        <v>1</v>
      </c>
    </row>
    <row r="14" spans="1:10" ht="14.45" customHeight="1" x14ac:dyDescent="0.2">
      <c r="A14" s="695" t="s">
        <v>518</v>
      </c>
      <c r="B14" s="696" t="s">
        <v>2045</v>
      </c>
      <c r="C14" s="697">
        <v>181.68794</v>
      </c>
      <c r="D14" s="697">
        <v>189.83266</v>
      </c>
      <c r="E14" s="697"/>
      <c r="F14" s="697">
        <v>159.46076000000002</v>
      </c>
      <c r="G14" s="697">
        <v>210</v>
      </c>
      <c r="H14" s="697">
        <v>-50.539239999999978</v>
      </c>
      <c r="I14" s="698">
        <v>0.75933695238095245</v>
      </c>
      <c r="J14" s="699" t="s">
        <v>1</v>
      </c>
    </row>
    <row r="15" spans="1:10" ht="14.45" customHeight="1" x14ac:dyDescent="0.2">
      <c r="A15" s="695" t="s">
        <v>518</v>
      </c>
      <c r="B15" s="696" t="s">
        <v>2046</v>
      </c>
      <c r="C15" s="697">
        <v>212.30968000000004</v>
      </c>
      <c r="D15" s="697">
        <v>240.64797000000004</v>
      </c>
      <c r="E15" s="697"/>
      <c r="F15" s="697">
        <v>267.88877000000002</v>
      </c>
      <c r="G15" s="697">
        <v>250</v>
      </c>
      <c r="H15" s="697">
        <v>17.888770000000022</v>
      </c>
      <c r="I15" s="698">
        <v>1.07155508</v>
      </c>
      <c r="J15" s="699" t="s">
        <v>1</v>
      </c>
    </row>
    <row r="16" spans="1:10" ht="14.45" customHeight="1" x14ac:dyDescent="0.2">
      <c r="A16" s="695" t="s">
        <v>518</v>
      </c>
      <c r="B16" s="696" t="s">
        <v>2047</v>
      </c>
      <c r="C16" s="697">
        <v>0</v>
      </c>
      <c r="D16" s="697">
        <v>37.987180000000002</v>
      </c>
      <c r="E16" s="697"/>
      <c r="F16" s="697">
        <v>0</v>
      </c>
      <c r="G16" s="697">
        <v>0</v>
      </c>
      <c r="H16" s="697">
        <v>0</v>
      </c>
      <c r="I16" s="698" t="s">
        <v>520</v>
      </c>
      <c r="J16" s="699" t="s">
        <v>1</v>
      </c>
    </row>
    <row r="17" spans="1:10" ht="14.45" customHeight="1" x14ac:dyDescent="0.2">
      <c r="A17" s="695" t="s">
        <v>518</v>
      </c>
      <c r="B17" s="696" t="s">
        <v>2048</v>
      </c>
      <c r="C17" s="697">
        <v>0.37239999999999995</v>
      </c>
      <c r="D17" s="697">
        <v>0</v>
      </c>
      <c r="E17" s="697"/>
      <c r="F17" s="697">
        <v>0</v>
      </c>
      <c r="G17" s="697">
        <v>0</v>
      </c>
      <c r="H17" s="697">
        <v>0</v>
      </c>
      <c r="I17" s="698" t="s">
        <v>520</v>
      </c>
      <c r="J17" s="699" t="s">
        <v>1</v>
      </c>
    </row>
    <row r="18" spans="1:10" ht="14.45" customHeight="1" x14ac:dyDescent="0.2">
      <c r="A18" s="695" t="s">
        <v>518</v>
      </c>
      <c r="B18" s="696" t="s">
        <v>529</v>
      </c>
      <c r="C18" s="697">
        <v>4410.99838</v>
      </c>
      <c r="D18" s="697">
        <v>4667.7559700000002</v>
      </c>
      <c r="E18" s="697"/>
      <c r="F18" s="697">
        <v>4678.1789199999985</v>
      </c>
      <c r="G18" s="697">
        <v>4707</v>
      </c>
      <c r="H18" s="697">
        <v>-28.82108000000153</v>
      </c>
      <c r="I18" s="698">
        <v>0.993876974718504</v>
      </c>
      <c r="J18" s="699" t="s">
        <v>530</v>
      </c>
    </row>
    <row r="20" spans="1:10" ht="14.45" customHeight="1" x14ac:dyDescent="0.2">
      <c r="A20" s="695" t="s">
        <v>518</v>
      </c>
      <c r="B20" s="696" t="s">
        <v>519</v>
      </c>
      <c r="C20" s="697" t="s">
        <v>520</v>
      </c>
      <c r="D20" s="697" t="s">
        <v>520</v>
      </c>
      <c r="E20" s="697"/>
      <c r="F20" s="697" t="s">
        <v>520</v>
      </c>
      <c r="G20" s="697" t="s">
        <v>520</v>
      </c>
      <c r="H20" s="697" t="s">
        <v>520</v>
      </c>
      <c r="I20" s="698" t="s">
        <v>520</v>
      </c>
      <c r="J20" s="699" t="s">
        <v>60</v>
      </c>
    </row>
    <row r="21" spans="1:10" ht="14.45" customHeight="1" x14ac:dyDescent="0.2">
      <c r="A21" s="695" t="s">
        <v>531</v>
      </c>
      <c r="B21" s="696" t="s">
        <v>532</v>
      </c>
      <c r="C21" s="697" t="s">
        <v>520</v>
      </c>
      <c r="D21" s="697" t="s">
        <v>520</v>
      </c>
      <c r="E21" s="697"/>
      <c r="F21" s="697" t="s">
        <v>520</v>
      </c>
      <c r="G21" s="697" t="s">
        <v>520</v>
      </c>
      <c r="H21" s="697" t="s">
        <v>520</v>
      </c>
      <c r="I21" s="698" t="s">
        <v>520</v>
      </c>
      <c r="J21" s="699" t="s">
        <v>0</v>
      </c>
    </row>
    <row r="22" spans="1:10" ht="14.45" customHeight="1" x14ac:dyDescent="0.2">
      <c r="A22" s="695" t="s">
        <v>531</v>
      </c>
      <c r="B22" s="696" t="s">
        <v>2037</v>
      </c>
      <c r="C22" s="697">
        <v>483.67181999999997</v>
      </c>
      <c r="D22" s="697">
        <v>469.35456999999997</v>
      </c>
      <c r="E22" s="697"/>
      <c r="F22" s="697">
        <v>475.8666399999999</v>
      </c>
      <c r="G22" s="697">
        <v>450</v>
      </c>
      <c r="H22" s="697">
        <v>25.866639999999904</v>
      </c>
      <c r="I22" s="698">
        <v>1.057481422222222</v>
      </c>
      <c r="J22" s="699" t="s">
        <v>1</v>
      </c>
    </row>
    <row r="23" spans="1:10" ht="14.45" customHeight="1" x14ac:dyDescent="0.2">
      <c r="A23" s="695" t="s">
        <v>531</v>
      </c>
      <c r="B23" s="696" t="s">
        <v>2038</v>
      </c>
      <c r="C23" s="697">
        <v>0.76831000000000016</v>
      </c>
      <c r="D23" s="697">
        <v>0.44218999999999997</v>
      </c>
      <c r="E23" s="697"/>
      <c r="F23" s="697">
        <v>0.46629000000000004</v>
      </c>
      <c r="G23" s="697">
        <v>1</v>
      </c>
      <c r="H23" s="697">
        <v>-0.53370999999999991</v>
      </c>
      <c r="I23" s="698">
        <v>0.46629000000000004</v>
      </c>
      <c r="J23" s="699" t="s">
        <v>1</v>
      </c>
    </row>
    <row r="24" spans="1:10" ht="14.45" customHeight="1" x14ac:dyDescent="0.2">
      <c r="A24" s="695" t="s">
        <v>531</v>
      </c>
      <c r="B24" s="696" t="s">
        <v>2039</v>
      </c>
      <c r="C24" s="697">
        <v>423.44694999999996</v>
      </c>
      <c r="D24" s="697">
        <v>500.1601099999998</v>
      </c>
      <c r="E24" s="697"/>
      <c r="F24" s="697">
        <v>463.39669999999984</v>
      </c>
      <c r="G24" s="697">
        <v>510</v>
      </c>
      <c r="H24" s="697">
        <v>-46.603300000000161</v>
      </c>
      <c r="I24" s="698">
        <v>0.90862098039215655</v>
      </c>
      <c r="J24" s="699" t="s">
        <v>1</v>
      </c>
    </row>
    <row r="25" spans="1:10" ht="14.45" customHeight="1" x14ac:dyDescent="0.2">
      <c r="A25" s="695" t="s">
        <v>531</v>
      </c>
      <c r="B25" s="696" t="s">
        <v>2040</v>
      </c>
      <c r="C25" s="697">
        <v>2648.7423399999998</v>
      </c>
      <c r="D25" s="697">
        <v>2819.4980400000004</v>
      </c>
      <c r="E25" s="697"/>
      <c r="F25" s="697">
        <v>2708.6040199999993</v>
      </c>
      <c r="G25" s="697">
        <v>2800</v>
      </c>
      <c r="H25" s="697">
        <v>-91.395980000000691</v>
      </c>
      <c r="I25" s="698">
        <v>0.96735857857142837</v>
      </c>
      <c r="J25" s="699" t="s">
        <v>1</v>
      </c>
    </row>
    <row r="26" spans="1:10" ht="14.45" customHeight="1" x14ac:dyDescent="0.2">
      <c r="A26" s="695" t="s">
        <v>531</v>
      </c>
      <c r="B26" s="696" t="s">
        <v>2041</v>
      </c>
      <c r="C26" s="697">
        <v>187.33112</v>
      </c>
      <c r="D26" s="697">
        <v>143.65316999999999</v>
      </c>
      <c r="E26" s="697"/>
      <c r="F26" s="697">
        <v>340.15578000000005</v>
      </c>
      <c r="G26" s="697">
        <v>180</v>
      </c>
      <c r="H26" s="697">
        <v>160.15578000000005</v>
      </c>
      <c r="I26" s="698">
        <v>1.8897543333333335</v>
      </c>
      <c r="J26" s="699" t="s">
        <v>1</v>
      </c>
    </row>
    <row r="27" spans="1:10" ht="14.45" customHeight="1" x14ac:dyDescent="0.2">
      <c r="A27" s="695" t="s">
        <v>531</v>
      </c>
      <c r="B27" s="696" t="s">
        <v>2042</v>
      </c>
      <c r="C27" s="697">
        <v>20.584780000000006</v>
      </c>
      <c r="D27" s="697">
        <v>16.133610000000001</v>
      </c>
      <c r="E27" s="697"/>
      <c r="F27" s="697">
        <v>27.160439999999994</v>
      </c>
      <c r="G27" s="697">
        <v>20</v>
      </c>
      <c r="H27" s="697">
        <v>7.1604399999999941</v>
      </c>
      <c r="I27" s="698">
        <v>1.3580219999999996</v>
      </c>
      <c r="J27" s="699" t="s">
        <v>1</v>
      </c>
    </row>
    <row r="28" spans="1:10" ht="14.45" customHeight="1" x14ac:dyDescent="0.2">
      <c r="A28" s="695" t="s">
        <v>531</v>
      </c>
      <c r="B28" s="696" t="s">
        <v>2043</v>
      </c>
      <c r="C28" s="697">
        <v>26.305239999999998</v>
      </c>
      <c r="D28" s="697">
        <v>29.267720000000001</v>
      </c>
      <c r="E28" s="697"/>
      <c r="F28" s="697">
        <v>27.074780000000001</v>
      </c>
      <c r="G28" s="697">
        <v>40</v>
      </c>
      <c r="H28" s="697">
        <v>-12.925219999999999</v>
      </c>
      <c r="I28" s="698">
        <v>0.67686950000000001</v>
      </c>
      <c r="J28" s="699" t="s">
        <v>1</v>
      </c>
    </row>
    <row r="29" spans="1:10" ht="14.45" customHeight="1" x14ac:dyDescent="0.2">
      <c r="A29" s="695" t="s">
        <v>531</v>
      </c>
      <c r="B29" s="696" t="s">
        <v>2044</v>
      </c>
      <c r="C29" s="697">
        <v>225.77780000000001</v>
      </c>
      <c r="D29" s="697">
        <v>220.77875000000003</v>
      </c>
      <c r="E29" s="697"/>
      <c r="F29" s="697">
        <v>208.10473999999999</v>
      </c>
      <c r="G29" s="697">
        <v>246</v>
      </c>
      <c r="H29" s="697">
        <v>-37.895260000000007</v>
      </c>
      <c r="I29" s="698">
        <v>0.84595422764227635</v>
      </c>
      <c r="J29" s="699" t="s">
        <v>1</v>
      </c>
    </row>
    <row r="30" spans="1:10" ht="14.45" customHeight="1" x14ac:dyDescent="0.2">
      <c r="A30" s="695" t="s">
        <v>531</v>
      </c>
      <c r="B30" s="696" t="s">
        <v>2045</v>
      </c>
      <c r="C30" s="697">
        <v>181.68794</v>
      </c>
      <c r="D30" s="697">
        <v>189.83266</v>
      </c>
      <c r="E30" s="697"/>
      <c r="F30" s="697">
        <v>159.46076000000002</v>
      </c>
      <c r="G30" s="697">
        <v>210</v>
      </c>
      <c r="H30" s="697">
        <v>-50.539239999999978</v>
      </c>
      <c r="I30" s="698">
        <v>0.75933695238095245</v>
      </c>
      <c r="J30" s="699" t="s">
        <v>1</v>
      </c>
    </row>
    <row r="31" spans="1:10" ht="14.45" customHeight="1" x14ac:dyDescent="0.2">
      <c r="A31" s="695" t="s">
        <v>531</v>
      </c>
      <c r="B31" s="696" t="s">
        <v>2046</v>
      </c>
      <c r="C31" s="697">
        <v>212.30968000000004</v>
      </c>
      <c r="D31" s="697">
        <v>240.64797000000004</v>
      </c>
      <c r="E31" s="697"/>
      <c r="F31" s="697">
        <v>267.88877000000002</v>
      </c>
      <c r="G31" s="697">
        <v>250</v>
      </c>
      <c r="H31" s="697">
        <v>17.888770000000022</v>
      </c>
      <c r="I31" s="698">
        <v>1.07155508</v>
      </c>
      <c r="J31" s="699" t="s">
        <v>1</v>
      </c>
    </row>
    <row r="32" spans="1:10" ht="14.45" customHeight="1" x14ac:dyDescent="0.2">
      <c r="A32" s="695" t="s">
        <v>531</v>
      </c>
      <c r="B32" s="696" t="s">
        <v>2047</v>
      </c>
      <c r="C32" s="697">
        <v>0</v>
      </c>
      <c r="D32" s="697">
        <v>37.987180000000002</v>
      </c>
      <c r="E32" s="697"/>
      <c r="F32" s="697">
        <v>0</v>
      </c>
      <c r="G32" s="697">
        <v>0</v>
      </c>
      <c r="H32" s="697">
        <v>0</v>
      </c>
      <c r="I32" s="698" t="s">
        <v>520</v>
      </c>
      <c r="J32" s="699" t="s">
        <v>1</v>
      </c>
    </row>
    <row r="33" spans="1:10" ht="14.45" customHeight="1" x14ac:dyDescent="0.2">
      <c r="A33" s="695" t="s">
        <v>531</v>
      </c>
      <c r="B33" s="696" t="s">
        <v>2048</v>
      </c>
      <c r="C33" s="697">
        <v>0.37239999999999995</v>
      </c>
      <c r="D33" s="697">
        <v>0</v>
      </c>
      <c r="E33" s="697"/>
      <c r="F33" s="697">
        <v>0</v>
      </c>
      <c r="G33" s="697">
        <v>0</v>
      </c>
      <c r="H33" s="697">
        <v>0</v>
      </c>
      <c r="I33" s="698" t="s">
        <v>520</v>
      </c>
      <c r="J33" s="699" t="s">
        <v>1</v>
      </c>
    </row>
    <row r="34" spans="1:10" ht="14.45" customHeight="1" x14ac:dyDescent="0.2">
      <c r="A34" s="695" t="s">
        <v>531</v>
      </c>
      <c r="B34" s="696" t="s">
        <v>533</v>
      </c>
      <c r="C34" s="697">
        <v>4410.99838</v>
      </c>
      <c r="D34" s="697">
        <v>4667.7559700000002</v>
      </c>
      <c r="E34" s="697"/>
      <c r="F34" s="697">
        <v>4678.1789199999985</v>
      </c>
      <c r="G34" s="697">
        <v>4707</v>
      </c>
      <c r="H34" s="697">
        <v>-28.82108000000153</v>
      </c>
      <c r="I34" s="698">
        <v>0.993876974718504</v>
      </c>
      <c r="J34" s="699" t="s">
        <v>534</v>
      </c>
    </row>
    <row r="35" spans="1:10" ht="14.45" customHeight="1" x14ac:dyDescent="0.2">
      <c r="A35" s="695" t="s">
        <v>520</v>
      </c>
      <c r="B35" s="696" t="s">
        <v>520</v>
      </c>
      <c r="C35" s="697" t="s">
        <v>520</v>
      </c>
      <c r="D35" s="697" t="s">
        <v>520</v>
      </c>
      <c r="E35" s="697"/>
      <c r="F35" s="697" t="s">
        <v>520</v>
      </c>
      <c r="G35" s="697" t="s">
        <v>520</v>
      </c>
      <c r="H35" s="697" t="s">
        <v>520</v>
      </c>
      <c r="I35" s="698" t="s">
        <v>520</v>
      </c>
      <c r="J35" s="699" t="s">
        <v>535</v>
      </c>
    </row>
    <row r="36" spans="1:10" ht="14.45" customHeight="1" x14ac:dyDescent="0.2">
      <c r="A36" s="695" t="s">
        <v>518</v>
      </c>
      <c r="B36" s="696" t="s">
        <v>529</v>
      </c>
      <c r="C36" s="697">
        <v>4410.99838</v>
      </c>
      <c r="D36" s="697">
        <v>4667.7559700000002</v>
      </c>
      <c r="E36" s="697"/>
      <c r="F36" s="697">
        <v>4678.1789199999985</v>
      </c>
      <c r="G36" s="697">
        <v>4707</v>
      </c>
      <c r="H36" s="697">
        <v>-28.82108000000153</v>
      </c>
      <c r="I36" s="698">
        <v>0.993876974718504</v>
      </c>
      <c r="J36" s="699" t="s">
        <v>530</v>
      </c>
    </row>
  </sheetData>
  <mergeCells count="3">
    <mergeCell ref="A1:I1"/>
    <mergeCell ref="F3:I3"/>
    <mergeCell ref="C4:D4"/>
  </mergeCells>
  <conditionalFormatting sqref="F19 F37:F65537">
    <cfRule type="cellIs" dxfId="41" priority="18" stopIfTrue="1" operator="greaterThan">
      <formula>1</formula>
    </cfRule>
  </conditionalFormatting>
  <conditionalFormatting sqref="H5:H18">
    <cfRule type="expression" dxfId="40" priority="14">
      <formula>$H5&gt;0</formula>
    </cfRule>
  </conditionalFormatting>
  <conditionalFormatting sqref="I5:I18">
    <cfRule type="expression" dxfId="39" priority="15">
      <formula>$I5&gt;1</formula>
    </cfRule>
  </conditionalFormatting>
  <conditionalFormatting sqref="B5:B18">
    <cfRule type="expression" dxfId="38" priority="11">
      <formula>OR($J5="NS",$J5="SumaNS",$J5="Účet")</formula>
    </cfRule>
  </conditionalFormatting>
  <conditionalFormatting sqref="F5:I18 B5:D18">
    <cfRule type="expression" dxfId="37" priority="17">
      <formula>AND($J5&lt;&gt;"",$J5&lt;&gt;"mezeraKL")</formula>
    </cfRule>
  </conditionalFormatting>
  <conditionalFormatting sqref="B5:D18 F5:I18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35" priority="13">
      <formula>OR($J5="SumaNS",$J5="NS")</formula>
    </cfRule>
  </conditionalFormatting>
  <conditionalFormatting sqref="A5:A18">
    <cfRule type="expression" dxfId="34" priority="9">
      <formula>AND($J5&lt;&gt;"mezeraKL",$J5&lt;&gt;"")</formula>
    </cfRule>
  </conditionalFormatting>
  <conditionalFormatting sqref="A5:A18">
    <cfRule type="expression" dxfId="33" priority="10">
      <formula>AND($J5&lt;&gt;"",$J5&lt;&gt;"mezeraKL")</formula>
    </cfRule>
  </conditionalFormatting>
  <conditionalFormatting sqref="H20:H36">
    <cfRule type="expression" dxfId="32" priority="6">
      <formula>$H20&gt;0</formula>
    </cfRule>
  </conditionalFormatting>
  <conditionalFormatting sqref="A20:A36">
    <cfRule type="expression" dxfId="31" priority="5">
      <formula>AND($J20&lt;&gt;"mezeraKL",$J20&lt;&gt;"")</formula>
    </cfRule>
  </conditionalFormatting>
  <conditionalFormatting sqref="I20:I36">
    <cfRule type="expression" dxfId="30" priority="7">
      <formula>$I20&gt;1</formula>
    </cfRule>
  </conditionalFormatting>
  <conditionalFormatting sqref="B20:B36">
    <cfRule type="expression" dxfId="29" priority="4">
      <formula>OR($J20="NS",$J20="SumaNS",$J20="Účet")</formula>
    </cfRule>
  </conditionalFormatting>
  <conditionalFormatting sqref="A20:D36 F20:I36">
    <cfRule type="expression" dxfId="28" priority="8">
      <formula>AND($J20&lt;&gt;"",$J20&lt;&gt;"mezeraKL")</formula>
    </cfRule>
  </conditionalFormatting>
  <conditionalFormatting sqref="B20:D36 F20:I36">
    <cfRule type="expression" dxfId="27" priority="1">
      <formula>OR($J20="KL",$J20="SumaKL")</formula>
    </cfRule>
    <cfRule type="expression" priority="3" stopIfTrue="1">
      <formula>OR($J20="mezeraNS",$J20="mezeraKL")</formula>
    </cfRule>
  </conditionalFormatting>
  <conditionalFormatting sqref="B20:D36 F20:I36">
    <cfRule type="expression" dxfId="26" priority="2">
      <formula>OR($J20="SumaNS",$J20="NS")</formula>
    </cfRule>
  </conditionalFormatting>
  <hyperlinks>
    <hyperlink ref="A2" location="Obsah!A1" display="Zpět na Obsah  KL 01  1.-4.měsíc" xr:uid="{BD0B2136-B50B-4167-B8AE-F745D6B28662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57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233" hidden="1" customWidth="1" outlineLevel="1"/>
    <col min="2" max="2" width="28.28515625" style="233" hidden="1" customWidth="1" outlineLevel="1"/>
    <col min="3" max="3" width="5.28515625" style="315" bestFit="1" customWidth="1" collapsed="1"/>
    <col min="4" max="4" width="18.7109375" style="319" customWidth="1"/>
    <col min="5" max="5" width="9" style="315" bestFit="1" customWidth="1"/>
    <col min="6" max="6" width="18.7109375" style="319" customWidth="1"/>
    <col min="7" max="7" width="12.42578125" style="315" hidden="1" customWidth="1" outlineLevel="1"/>
    <col min="8" max="8" width="25.7109375" style="315" customWidth="1" collapsed="1"/>
    <col min="9" max="9" width="7.7109375" style="313" customWidth="1"/>
    <col min="10" max="10" width="10" style="313" customWidth="1"/>
    <col min="11" max="11" width="11.140625" style="313" customWidth="1"/>
    <col min="12" max="16384" width="8.85546875" style="233"/>
  </cols>
  <sheetData>
    <row r="1" spans="1:11" ht="18.600000000000001" customHeight="1" thickBot="1" x14ac:dyDescent="0.35">
      <c r="A1" s="529" t="s">
        <v>2996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</row>
    <row r="2" spans="1:11" ht="14.45" customHeight="1" thickBot="1" x14ac:dyDescent="0.25">
      <c r="A2" s="666" t="s">
        <v>305</v>
      </c>
      <c r="B2" s="66"/>
      <c r="C2" s="317"/>
      <c r="D2" s="317"/>
      <c r="E2" s="317"/>
      <c r="F2" s="317"/>
      <c r="G2" s="317"/>
      <c r="H2" s="317"/>
      <c r="I2" s="318"/>
      <c r="J2" s="318"/>
      <c r="K2" s="318"/>
    </row>
    <row r="3" spans="1:11" ht="14.45" customHeight="1" thickBot="1" x14ac:dyDescent="0.25">
      <c r="A3" s="66"/>
      <c r="B3" s="66"/>
      <c r="C3" s="525"/>
      <c r="D3" s="526"/>
      <c r="E3" s="526"/>
      <c r="F3" s="526"/>
      <c r="G3" s="526"/>
      <c r="H3" s="246" t="s">
        <v>143</v>
      </c>
      <c r="I3" s="189">
        <f>IF(J3&lt;&gt;0,K3/J3,0)</f>
        <v>6.4309550092726422</v>
      </c>
      <c r="J3" s="189">
        <f>SUBTOTAL(9,J5:J1048576)</f>
        <v>727447</v>
      </c>
      <c r="K3" s="190">
        <f>SUBTOTAL(9,K5:K1048576)</f>
        <v>4678178.9286303557</v>
      </c>
    </row>
    <row r="4" spans="1:11" s="314" customFormat="1" ht="14.45" customHeight="1" thickBot="1" x14ac:dyDescent="0.25">
      <c r="A4" s="700" t="s">
        <v>4</v>
      </c>
      <c r="B4" s="701" t="s">
        <v>5</v>
      </c>
      <c r="C4" s="701" t="s">
        <v>0</v>
      </c>
      <c r="D4" s="701" t="s">
        <v>6</v>
      </c>
      <c r="E4" s="701" t="s">
        <v>7</v>
      </c>
      <c r="F4" s="701" t="s">
        <v>1</v>
      </c>
      <c r="G4" s="701" t="s">
        <v>76</v>
      </c>
      <c r="H4" s="703" t="s">
        <v>11</v>
      </c>
      <c r="I4" s="704" t="s">
        <v>167</v>
      </c>
      <c r="J4" s="704" t="s">
        <v>13</v>
      </c>
      <c r="K4" s="705" t="s">
        <v>178</v>
      </c>
    </row>
    <row r="5" spans="1:11" ht="14.45" customHeight="1" x14ac:dyDescent="0.2">
      <c r="A5" s="708" t="s">
        <v>518</v>
      </c>
      <c r="B5" s="709" t="s">
        <v>519</v>
      </c>
      <c r="C5" s="710" t="s">
        <v>531</v>
      </c>
      <c r="D5" s="711" t="s">
        <v>532</v>
      </c>
      <c r="E5" s="710" t="s">
        <v>2049</v>
      </c>
      <c r="F5" s="711" t="s">
        <v>2050</v>
      </c>
      <c r="G5" s="710" t="s">
        <v>2051</v>
      </c>
      <c r="H5" s="710" t="s">
        <v>2052</v>
      </c>
      <c r="I5" s="713">
        <v>5445</v>
      </c>
      <c r="J5" s="713">
        <v>3</v>
      </c>
      <c r="K5" s="714">
        <v>16335</v>
      </c>
    </row>
    <row r="6" spans="1:11" ht="14.45" customHeight="1" x14ac:dyDescent="0.2">
      <c r="A6" s="715" t="s">
        <v>518</v>
      </c>
      <c r="B6" s="716" t="s">
        <v>519</v>
      </c>
      <c r="C6" s="717" t="s">
        <v>531</v>
      </c>
      <c r="D6" s="718" t="s">
        <v>532</v>
      </c>
      <c r="E6" s="717" t="s">
        <v>2049</v>
      </c>
      <c r="F6" s="718" t="s">
        <v>2050</v>
      </c>
      <c r="G6" s="717" t="s">
        <v>2053</v>
      </c>
      <c r="H6" s="717" t="s">
        <v>2054</v>
      </c>
      <c r="I6" s="720">
        <v>5445</v>
      </c>
      <c r="J6" s="720">
        <v>3</v>
      </c>
      <c r="K6" s="721">
        <v>16335</v>
      </c>
    </row>
    <row r="7" spans="1:11" ht="14.45" customHeight="1" x14ac:dyDescent="0.2">
      <c r="A7" s="715" t="s">
        <v>518</v>
      </c>
      <c r="B7" s="716" t="s">
        <v>519</v>
      </c>
      <c r="C7" s="717" t="s">
        <v>531</v>
      </c>
      <c r="D7" s="718" t="s">
        <v>532</v>
      </c>
      <c r="E7" s="717" t="s">
        <v>2049</v>
      </c>
      <c r="F7" s="718" t="s">
        <v>2050</v>
      </c>
      <c r="G7" s="717" t="s">
        <v>2055</v>
      </c>
      <c r="H7" s="717" t="s">
        <v>2056</v>
      </c>
      <c r="I7" s="720">
        <v>5445</v>
      </c>
      <c r="J7" s="720">
        <v>3</v>
      </c>
      <c r="K7" s="721">
        <v>16335</v>
      </c>
    </row>
    <row r="8" spans="1:11" ht="14.45" customHeight="1" x14ac:dyDescent="0.2">
      <c r="A8" s="715" t="s">
        <v>518</v>
      </c>
      <c r="B8" s="716" t="s">
        <v>519</v>
      </c>
      <c r="C8" s="717" t="s">
        <v>531</v>
      </c>
      <c r="D8" s="718" t="s">
        <v>532</v>
      </c>
      <c r="E8" s="717" t="s">
        <v>2049</v>
      </c>
      <c r="F8" s="718" t="s">
        <v>2050</v>
      </c>
      <c r="G8" s="717" t="s">
        <v>2057</v>
      </c>
      <c r="H8" s="717" t="s">
        <v>2058</v>
      </c>
      <c r="I8" s="720">
        <v>5445</v>
      </c>
      <c r="J8" s="720">
        <v>1</v>
      </c>
      <c r="K8" s="721">
        <v>5445</v>
      </c>
    </row>
    <row r="9" spans="1:11" ht="14.45" customHeight="1" x14ac:dyDescent="0.2">
      <c r="A9" s="715" t="s">
        <v>518</v>
      </c>
      <c r="B9" s="716" t="s">
        <v>519</v>
      </c>
      <c r="C9" s="717" t="s">
        <v>531</v>
      </c>
      <c r="D9" s="718" t="s">
        <v>532</v>
      </c>
      <c r="E9" s="717" t="s">
        <v>2049</v>
      </c>
      <c r="F9" s="718" t="s">
        <v>2050</v>
      </c>
      <c r="G9" s="717" t="s">
        <v>2059</v>
      </c>
      <c r="H9" s="717" t="s">
        <v>2060</v>
      </c>
      <c r="I9" s="720">
        <v>147.18132731119792</v>
      </c>
      <c r="J9" s="720">
        <v>150</v>
      </c>
      <c r="K9" s="721">
        <v>22077.280029296875</v>
      </c>
    </row>
    <row r="10" spans="1:11" ht="14.45" customHeight="1" x14ac:dyDescent="0.2">
      <c r="A10" s="715" t="s">
        <v>518</v>
      </c>
      <c r="B10" s="716" t="s">
        <v>519</v>
      </c>
      <c r="C10" s="717" t="s">
        <v>531</v>
      </c>
      <c r="D10" s="718" t="s">
        <v>532</v>
      </c>
      <c r="E10" s="717" t="s">
        <v>2049</v>
      </c>
      <c r="F10" s="718" t="s">
        <v>2050</v>
      </c>
      <c r="G10" s="717" t="s">
        <v>2061</v>
      </c>
      <c r="H10" s="717" t="s">
        <v>2062</v>
      </c>
      <c r="I10" s="720">
        <v>147.17999267578125</v>
      </c>
      <c r="J10" s="720">
        <v>150</v>
      </c>
      <c r="K10" s="721">
        <v>22077.239868164063</v>
      </c>
    </row>
    <row r="11" spans="1:11" ht="14.45" customHeight="1" x14ac:dyDescent="0.2">
      <c r="A11" s="715" t="s">
        <v>518</v>
      </c>
      <c r="B11" s="716" t="s">
        <v>519</v>
      </c>
      <c r="C11" s="717" t="s">
        <v>531</v>
      </c>
      <c r="D11" s="718" t="s">
        <v>532</v>
      </c>
      <c r="E11" s="717" t="s">
        <v>2049</v>
      </c>
      <c r="F11" s="718" t="s">
        <v>2050</v>
      </c>
      <c r="G11" s="717" t="s">
        <v>2063</v>
      </c>
      <c r="H11" s="717" t="s">
        <v>2064</v>
      </c>
      <c r="I11" s="720">
        <v>34848</v>
      </c>
      <c r="J11" s="720">
        <v>1</v>
      </c>
      <c r="K11" s="721">
        <v>34848</v>
      </c>
    </row>
    <row r="12" spans="1:11" ht="14.45" customHeight="1" x14ac:dyDescent="0.2">
      <c r="A12" s="715" t="s">
        <v>518</v>
      </c>
      <c r="B12" s="716" t="s">
        <v>519</v>
      </c>
      <c r="C12" s="717" t="s">
        <v>531</v>
      </c>
      <c r="D12" s="718" t="s">
        <v>532</v>
      </c>
      <c r="E12" s="717" t="s">
        <v>2049</v>
      </c>
      <c r="F12" s="718" t="s">
        <v>2050</v>
      </c>
      <c r="G12" s="717" t="s">
        <v>2065</v>
      </c>
      <c r="H12" s="717" t="s">
        <v>2066</v>
      </c>
      <c r="I12" s="720">
        <v>141.58000183105469</v>
      </c>
      <c r="J12" s="720">
        <v>31</v>
      </c>
      <c r="K12" s="721">
        <v>4388.9799194335938</v>
      </c>
    </row>
    <row r="13" spans="1:11" ht="14.45" customHeight="1" x14ac:dyDescent="0.2">
      <c r="A13" s="715" t="s">
        <v>518</v>
      </c>
      <c r="B13" s="716" t="s">
        <v>519</v>
      </c>
      <c r="C13" s="717" t="s">
        <v>531</v>
      </c>
      <c r="D13" s="718" t="s">
        <v>532</v>
      </c>
      <c r="E13" s="717" t="s">
        <v>2049</v>
      </c>
      <c r="F13" s="718" t="s">
        <v>2050</v>
      </c>
      <c r="G13" s="717" t="s">
        <v>2065</v>
      </c>
      <c r="H13" s="717" t="s">
        <v>2067</v>
      </c>
      <c r="I13" s="720">
        <v>156.89666748046875</v>
      </c>
      <c r="J13" s="720">
        <v>32</v>
      </c>
      <c r="K13" s="721">
        <v>5036.0198974609375</v>
      </c>
    </row>
    <row r="14" spans="1:11" ht="14.45" customHeight="1" x14ac:dyDescent="0.2">
      <c r="A14" s="715" t="s">
        <v>518</v>
      </c>
      <c r="B14" s="716" t="s">
        <v>519</v>
      </c>
      <c r="C14" s="717" t="s">
        <v>531</v>
      </c>
      <c r="D14" s="718" t="s">
        <v>532</v>
      </c>
      <c r="E14" s="717" t="s">
        <v>2049</v>
      </c>
      <c r="F14" s="718" t="s">
        <v>2050</v>
      </c>
      <c r="G14" s="717" t="s">
        <v>2068</v>
      </c>
      <c r="H14" s="717" t="s">
        <v>2069</v>
      </c>
      <c r="I14" s="720">
        <v>302.5</v>
      </c>
      <c r="J14" s="720">
        <v>1</v>
      </c>
      <c r="K14" s="721">
        <v>302.5</v>
      </c>
    </row>
    <row r="15" spans="1:11" ht="14.45" customHeight="1" x14ac:dyDescent="0.2">
      <c r="A15" s="715" t="s">
        <v>518</v>
      </c>
      <c r="B15" s="716" t="s">
        <v>519</v>
      </c>
      <c r="C15" s="717" t="s">
        <v>531</v>
      </c>
      <c r="D15" s="718" t="s">
        <v>532</v>
      </c>
      <c r="E15" s="717" t="s">
        <v>2049</v>
      </c>
      <c r="F15" s="718" t="s">
        <v>2050</v>
      </c>
      <c r="G15" s="717" t="s">
        <v>2070</v>
      </c>
      <c r="H15" s="717" t="s">
        <v>2071</v>
      </c>
      <c r="I15" s="720">
        <v>9228.2001953125</v>
      </c>
      <c r="J15" s="720">
        <v>1</v>
      </c>
      <c r="K15" s="721">
        <v>9228.2001953125</v>
      </c>
    </row>
    <row r="16" spans="1:11" ht="14.45" customHeight="1" x14ac:dyDescent="0.2">
      <c r="A16" s="715" t="s">
        <v>518</v>
      </c>
      <c r="B16" s="716" t="s">
        <v>519</v>
      </c>
      <c r="C16" s="717" t="s">
        <v>531</v>
      </c>
      <c r="D16" s="718" t="s">
        <v>532</v>
      </c>
      <c r="E16" s="717" t="s">
        <v>2049</v>
      </c>
      <c r="F16" s="718" t="s">
        <v>2050</v>
      </c>
      <c r="G16" s="717" t="s">
        <v>2072</v>
      </c>
      <c r="H16" s="717" t="s">
        <v>2073</v>
      </c>
      <c r="I16" s="720">
        <v>3035.31005859375</v>
      </c>
      <c r="J16" s="720">
        <v>8</v>
      </c>
      <c r="K16" s="721">
        <v>24282.48046875</v>
      </c>
    </row>
    <row r="17" spans="1:11" ht="14.45" customHeight="1" x14ac:dyDescent="0.2">
      <c r="A17" s="715" t="s">
        <v>518</v>
      </c>
      <c r="B17" s="716" t="s">
        <v>519</v>
      </c>
      <c r="C17" s="717" t="s">
        <v>531</v>
      </c>
      <c r="D17" s="718" t="s">
        <v>532</v>
      </c>
      <c r="E17" s="717" t="s">
        <v>2049</v>
      </c>
      <c r="F17" s="718" t="s">
        <v>2050</v>
      </c>
      <c r="G17" s="717" t="s">
        <v>2074</v>
      </c>
      <c r="H17" s="717" t="s">
        <v>2075</v>
      </c>
      <c r="I17" s="720">
        <v>3035.31005859375</v>
      </c>
      <c r="J17" s="720">
        <v>3</v>
      </c>
      <c r="K17" s="721">
        <v>9105.93017578125</v>
      </c>
    </row>
    <row r="18" spans="1:11" ht="14.45" customHeight="1" x14ac:dyDescent="0.2">
      <c r="A18" s="715" t="s">
        <v>518</v>
      </c>
      <c r="B18" s="716" t="s">
        <v>519</v>
      </c>
      <c r="C18" s="717" t="s">
        <v>531</v>
      </c>
      <c r="D18" s="718" t="s">
        <v>532</v>
      </c>
      <c r="E18" s="717" t="s">
        <v>2049</v>
      </c>
      <c r="F18" s="718" t="s">
        <v>2050</v>
      </c>
      <c r="G18" s="717" t="s">
        <v>2076</v>
      </c>
      <c r="H18" s="717" t="s">
        <v>2077</v>
      </c>
      <c r="I18" s="720">
        <v>2277.85009765625</v>
      </c>
      <c r="J18" s="720">
        <v>3</v>
      </c>
      <c r="K18" s="721">
        <v>6833.55029296875</v>
      </c>
    </row>
    <row r="19" spans="1:11" ht="14.45" customHeight="1" x14ac:dyDescent="0.2">
      <c r="A19" s="715" t="s">
        <v>518</v>
      </c>
      <c r="B19" s="716" t="s">
        <v>519</v>
      </c>
      <c r="C19" s="717" t="s">
        <v>531</v>
      </c>
      <c r="D19" s="718" t="s">
        <v>532</v>
      </c>
      <c r="E19" s="717" t="s">
        <v>2049</v>
      </c>
      <c r="F19" s="718" t="s">
        <v>2050</v>
      </c>
      <c r="G19" s="717" t="s">
        <v>2078</v>
      </c>
      <c r="H19" s="717" t="s">
        <v>2079</v>
      </c>
      <c r="I19" s="720">
        <v>2277.85009765625</v>
      </c>
      <c r="J19" s="720">
        <v>2</v>
      </c>
      <c r="K19" s="721">
        <v>4555.7001953125</v>
      </c>
    </row>
    <row r="20" spans="1:11" ht="14.45" customHeight="1" x14ac:dyDescent="0.2">
      <c r="A20" s="715" t="s">
        <v>518</v>
      </c>
      <c r="B20" s="716" t="s">
        <v>519</v>
      </c>
      <c r="C20" s="717" t="s">
        <v>531</v>
      </c>
      <c r="D20" s="718" t="s">
        <v>532</v>
      </c>
      <c r="E20" s="717" t="s">
        <v>2049</v>
      </c>
      <c r="F20" s="718" t="s">
        <v>2050</v>
      </c>
      <c r="G20" s="717" t="s">
        <v>2072</v>
      </c>
      <c r="H20" s="717" t="s">
        <v>2080</v>
      </c>
      <c r="I20" s="720">
        <v>3035.31005859375</v>
      </c>
      <c r="J20" s="720">
        <v>5</v>
      </c>
      <c r="K20" s="721">
        <v>15176.55029296875</v>
      </c>
    </row>
    <row r="21" spans="1:11" ht="14.45" customHeight="1" x14ac:dyDescent="0.2">
      <c r="A21" s="715" t="s">
        <v>518</v>
      </c>
      <c r="B21" s="716" t="s">
        <v>519</v>
      </c>
      <c r="C21" s="717" t="s">
        <v>531</v>
      </c>
      <c r="D21" s="718" t="s">
        <v>532</v>
      </c>
      <c r="E21" s="717" t="s">
        <v>2049</v>
      </c>
      <c r="F21" s="718" t="s">
        <v>2050</v>
      </c>
      <c r="G21" s="717" t="s">
        <v>2074</v>
      </c>
      <c r="H21" s="717" t="s">
        <v>2081</v>
      </c>
      <c r="I21" s="720">
        <v>3035.31005859375</v>
      </c>
      <c r="J21" s="720">
        <v>2</v>
      </c>
      <c r="K21" s="721">
        <v>6070.6201171875</v>
      </c>
    </row>
    <row r="22" spans="1:11" ht="14.45" customHeight="1" x14ac:dyDescent="0.2">
      <c r="A22" s="715" t="s">
        <v>518</v>
      </c>
      <c r="B22" s="716" t="s">
        <v>519</v>
      </c>
      <c r="C22" s="717" t="s">
        <v>531</v>
      </c>
      <c r="D22" s="718" t="s">
        <v>532</v>
      </c>
      <c r="E22" s="717" t="s">
        <v>2049</v>
      </c>
      <c r="F22" s="718" t="s">
        <v>2050</v>
      </c>
      <c r="G22" s="717" t="s">
        <v>2082</v>
      </c>
      <c r="H22" s="717" t="s">
        <v>2083</v>
      </c>
      <c r="I22" s="720">
        <v>9228.18994140625</v>
      </c>
      <c r="J22" s="720">
        <v>0.75</v>
      </c>
      <c r="K22" s="721">
        <v>6921.139892578125</v>
      </c>
    </row>
    <row r="23" spans="1:11" ht="14.45" customHeight="1" x14ac:dyDescent="0.2">
      <c r="A23" s="715" t="s">
        <v>518</v>
      </c>
      <c r="B23" s="716" t="s">
        <v>519</v>
      </c>
      <c r="C23" s="717" t="s">
        <v>531</v>
      </c>
      <c r="D23" s="718" t="s">
        <v>532</v>
      </c>
      <c r="E23" s="717" t="s">
        <v>2049</v>
      </c>
      <c r="F23" s="718" t="s">
        <v>2050</v>
      </c>
      <c r="G23" s="717" t="s">
        <v>2082</v>
      </c>
      <c r="H23" s="717" t="s">
        <v>2084</v>
      </c>
      <c r="I23" s="720">
        <v>9228.1800781250004</v>
      </c>
      <c r="J23" s="720">
        <v>1.5</v>
      </c>
      <c r="K23" s="721">
        <v>13842.27001953125</v>
      </c>
    </row>
    <row r="24" spans="1:11" ht="14.45" customHeight="1" x14ac:dyDescent="0.2">
      <c r="A24" s="715" t="s">
        <v>518</v>
      </c>
      <c r="B24" s="716" t="s">
        <v>519</v>
      </c>
      <c r="C24" s="717" t="s">
        <v>531</v>
      </c>
      <c r="D24" s="718" t="s">
        <v>532</v>
      </c>
      <c r="E24" s="717" t="s">
        <v>2049</v>
      </c>
      <c r="F24" s="718" t="s">
        <v>2050</v>
      </c>
      <c r="G24" s="717" t="s">
        <v>2085</v>
      </c>
      <c r="H24" s="717" t="s">
        <v>2086</v>
      </c>
      <c r="I24" s="720">
        <v>22994.599609375</v>
      </c>
      <c r="J24" s="720">
        <v>0.25</v>
      </c>
      <c r="K24" s="721">
        <v>5748.64990234375</v>
      </c>
    </row>
    <row r="25" spans="1:11" ht="14.45" customHeight="1" x14ac:dyDescent="0.2">
      <c r="A25" s="715" t="s">
        <v>518</v>
      </c>
      <c r="B25" s="716" t="s">
        <v>519</v>
      </c>
      <c r="C25" s="717" t="s">
        <v>531</v>
      </c>
      <c r="D25" s="718" t="s">
        <v>532</v>
      </c>
      <c r="E25" s="717" t="s">
        <v>2049</v>
      </c>
      <c r="F25" s="718" t="s">
        <v>2050</v>
      </c>
      <c r="G25" s="717" t="s">
        <v>2087</v>
      </c>
      <c r="H25" s="717" t="s">
        <v>2088</v>
      </c>
      <c r="I25" s="720">
        <v>22994.599609375</v>
      </c>
      <c r="J25" s="720">
        <v>0.5</v>
      </c>
      <c r="K25" s="721">
        <v>11497.2998046875</v>
      </c>
    </row>
    <row r="26" spans="1:11" ht="14.45" customHeight="1" x14ac:dyDescent="0.2">
      <c r="A26" s="715" t="s">
        <v>518</v>
      </c>
      <c r="B26" s="716" t="s">
        <v>519</v>
      </c>
      <c r="C26" s="717" t="s">
        <v>531</v>
      </c>
      <c r="D26" s="718" t="s">
        <v>532</v>
      </c>
      <c r="E26" s="717" t="s">
        <v>2049</v>
      </c>
      <c r="F26" s="718" t="s">
        <v>2050</v>
      </c>
      <c r="G26" s="717" t="s">
        <v>2089</v>
      </c>
      <c r="H26" s="717" t="s">
        <v>2090</v>
      </c>
      <c r="I26" s="720">
        <v>22994.599609375</v>
      </c>
      <c r="J26" s="720">
        <v>0.75</v>
      </c>
      <c r="K26" s="721">
        <v>17245.94970703125</v>
      </c>
    </row>
    <row r="27" spans="1:11" ht="14.45" customHeight="1" x14ac:dyDescent="0.2">
      <c r="A27" s="715" t="s">
        <v>518</v>
      </c>
      <c r="B27" s="716" t="s">
        <v>519</v>
      </c>
      <c r="C27" s="717" t="s">
        <v>531</v>
      </c>
      <c r="D27" s="718" t="s">
        <v>532</v>
      </c>
      <c r="E27" s="717" t="s">
        <v>2049</v>
      </c>
      <c r="F27" s="718" t="s">
        <v>2050</v>
      </c>
      <c r="G27" s="717" t="s">
        <v>2089</v>
      </c>
      <c r="H27" s="717" t="s">
        <v>2091</v>
      </c>
      <c r="I27" s="720">
        <v>22994.58984375</v>
      </c>
      <c r="J27" s="720">
        <v>0.75</v>
      </c>
      <c r="K27" s="721">
        <v>17245.93994140625</v>
      </c>
    </row>
    <row r="28" spans="1:11" ht="14.45" customHeight="1" x14ac:dyDescent="0.2">
      <c r="A28" s="715" t="s">
        <v>518</v>
      </c>
      <c r="B28" s="716" t="s">
        <v>519</v>
      </c>
      <c r="C28" s="717" t="s">
        <v>531</v>
      </c>
      <c r="D28" s="718" t="s">
        <v>532</v>
      </c>
      <c r="E28" s="717" t="s">
        <v>2049</v>
      </c>
      <c r="F28" s="718" t="s">
        <v>2050</v>
      </c>
      <c r="G28" s="717" t="s">
        <v>2092</v>
      </c>
      <c r="H28" s="717" t="s">
        <v>2093</v>
      </c>
      <c r="I28" s="720">
        <v>22994.599609375</v>
      </c>
      <c r="J28" s="720">
        <v>0.25</v>
      </c>
      <c r="K28" s="721">
        <v>5748.64990234375</v>
      </c>
    </row>
    <row r="29" spans="1:11" ht="14.45" customHeight="1" x14ac:dyDescent="0.2">
      <c r="A29" s="715" t="s">
        <v>518</v>
      </c>
      <c r="B29" s="716" t="s">
        <v>519</v>
      </c>
      <c r="C29" s="717" t="s">
        <v>531</v>
      </c>
      <c r="D29" s="718" t="s">
        <v>532</v>
      </c>
      <c r="E29" s="717" t="s">
        <v>2049</v>
      </c>
      <c r="F29" s="718" t="s">
        <v>2050</v>
      </c>
      <c r="G29" s="717" t="s">
        <v>2092</v>
      </c>
      <c r="H29" s="717" t="s">
        <v>2094</v>
      </c>
      <c r="I29" s="720">
        <v>22994.599609375</v>
      </c>
      <c r="J29" s="720">
        <v>0.25</v>
      </c>
      <c r="K29" s="721">
        <v>5748.64990234375</v>
      </c>
    </row>
    <row r="30" spans="1:11" ht="14.45" customHeight="1" x14ac:dyDescent="0.2">
      <c r="A30" s="715" t="s">
        <v>518</v>
      </c>
      <c r="B30" s="716" t="s">
        <v>519</v>
      </c>
      <c r="C30" s="717" t="s">
        <v>531</v>
      </c>
      <c r="D30" s="718" t="s">
        <v>532</v>
      </c>
      <c r="E30" s="717" t="s">
        <v>2049</v>
      </c>
      <c r="F30" s="718" t="s">
        <v>2050</v>
      </c>
      <c r="G30" s="717" t="s">
        <v>2095</v>
      </c>
      <c r="H30" s="717" t="s">
        <v>2096</v>
      </c>
      <c r="I30" s="720">
        <v>16187.7197265625</v>
      </c>
      <c r="J30" s="720">
        <v>0.25</v>
      </c>
      <c r="K30" s="721">
        <v>4046.929931640625</v>
      </c>
    </row>
    <row r="31" spans="1:11" ht="14.45" customHeight="1" x14ac:dyDescent="0.2">
      <c r="A31" s="715" t="s">
        <v>518</v>
      </c>
      <c r="B31" s="716" t="s">
        <v>519</v>
      </c>
      <c r="C31" s="717" t="s">
        <v>531</v>
      </c>
      <c r="D31" s="718" t="s">
        <v>532</v>
      </c>
      <c r="E31" s="717" t="s">
        <v>2049</v>
      </c>
      <c r="F31" s="718" t="s">
        <v>2050</v>
      </c>
      <c r="G31" s="717" t="s">
        <v>2097</v>
      </c>
      <c r="H31" s="717" t="s">
        <v>2098</v>
      </c>
      <c r="I31" s="720">
        <v>16187.7197265625</v>
      </c>
      <c r="J31" s="720">
        <v>0.5</v>
      </c>
      <c r="K31" s="721">
        <v>8093.85986328125</v>
      </c>
    </row>
    <row r="32" spans="1:11" ht="14.45" customHeight="1" x14ac:dyDescent="0.2">
      <c r="A32" s="715" t="s">
        <v>518</v>
      </c>
      <c r="B32" s="716" t="s">
        <v>519</v>
      </c>
      <c r="C32" s="717" t="s">
        <v>531</v>
      </c>
      <c r="D32" s="718" t="s">
        <v>532</v>
      </c>
      <c r="E32" s="717" t="s">
        <v>2049</v>
      </c>
      <c r="F32" s="718" t="s">
        <v>2050</v>
      </c>
      <c r="G32" s="717" t="s">
        <v>2097</v>
      </c>
      <c r="H32" s="717" t="s">
        <v>2099</v>
      </c>
      <c r="I32" s="720">
        <v>16187.7197265625</v>
      </c>
      <c r="J32" s="720">
        <v>1</v>
      </c>
      <c r="K32" s="721">
        <v>16187.7197265625</v>
      </c>
    </row>
    <row r="33" spans="1:11" ht="14.45" customHeight="1" x14ac:dyDescent="0.2">
      <c r="A33" s="715" t="s">
        <v>518</v>
      </c>
      <c r="B33" s="716" t="s">
        <v>519</v>
      </c>
      <c r="C33" s="717" t="s">
        <v>531</v>
      </c>
      <c r="D33" s="718" t="s">
        <v>532</v>
      </c>
      <c r="E33" s="717" t="s">
        <v>2049</v>
      </c>
      <c r="F33" s="718" t="s">
        <v>2050</v>
      </c>
      <c r="G33" s="717" t="s">
        <v>2100</v>
      </c>
      <c r="H33" s="717" t="s">
        <v>2101</v>
      </c>
      <c r="I33" s="720">
        <v>3709.679931640625</v>
      </c>
      <c r="J33" s="720">
        <v>0.5</v>
      </c>
      <c r="K33" s="721">
        <v>1854.8399658203125</v>
      </c>
    </row>
    <row r="34" spans="1:11" ht="14.45" customHeight="1" x14ac:dyDescent="0.2">
      <c r="A34" s="715" t="s">
        <v>518</v>
      </c>
      <c r="B34" s="716" t="s">
        <v>519</v>
      </c>
      <c r="C34" s="717" t="s">
        <v>531</v>
      </c>
      <c r="D34" s="718" t="s">
        <v>532</v>
      </c>
      <c r="E34" s="717" t="s">
        <v>2049</v>
      </c>
      <c r="F34" s="718" t="s">
        <v>2050</v>
      </c>
      <c r="G34" s="717" t="s">
        <v>2100</v>
      </c>
      <c r="H34" s="717" t="s">
        <v>2102</v>
      </c>
      <c r="I34" s="720">
        <v>3709.679931640625</v>
      </c>
      <c r="J34" s="720">
        <v>0.75</v>
      </c>
      <c r="K34" s="721">
        <v>2782.2599487304688</v>
      </c>
    </row>
    <row r="35" spans="1:11" ht="14.45" customHeight="1" x14ac:dyDescent="0.2">
      <c r="A35" s="715" t="s">
        <v>518</v>
      </c>
      <c r="B35" s="716" t="s">
        <v>519</v>
      </c>
      <c r="C35" s="717" t="s">
        <v>531</v>
      </c>
      <c r="D35" s="718" t="s">
        <v>532</v>
      </c>
      <c r="E35" s="717" t="s">
        <v>2049</v>
      </c>
      <c r="F35" s="718" t="s">
        <v>2050</v>
      </c>
      <c r="G35" s="717" t="s">
        <v>2103</v>
      </c>
      <c r="H35" s="717" t="s">
        <v>2104</v>
      </c>
      <c r="I35" s="720">
        <v>3130.7533365885415</v>
      </c>
      <c r="J35" s="720">
        <v>3</v>
      </c>
      <c r="K35" s="721">
        <v>9392.260009765625</v>
      </c>
    </row>
    <row r="36" spans="1:11" ht="14.45" customHeight="1" x14ac:dyDescent="0.2">
      <c r="A36" s="715" t="s">
        <v>518</v>
      </c>
      <c r="B36" s="716" t="s">
        <v>519</v>
      </c>
      <c r="C36" s="717" t="s">
        <v>531</v>
      </c>
      <c r="D36" s="718" t="s">
        <v>532</v>
      </c>
      <c r="E36" s="717" t="s">
        <v>2049</v>
      </c>
      <c r="F36" s="718" t="s">
        <v>2050</v>
      </c>
      <c r="G36" s="717" t="s">
        <v>2103</v>
      </c>
      <c r="H36" s="717" t="s">
        <v>2105</v>
      </c>
      <c r="I36" s="720">
        <v>3130.7566731770835</v>
      </c>
      <c r="J36" s="720">
        <v>4</v>
      </c>
      <c r="K36" s="721">
        <v>12523.019775390625</v>
      </c>
    </row>
    <row r="37" spans="1:11" ht="14.45" customHeight="1" x14ac:dyDescent="0.2">
      <c r="A37" s="715" t="s">
        <v>518</v>
      </c>
      <c r="B37" s="716" t="s">
        <v>519</v>
      </c>
      <c r="C37" s="717" t="s">
        <v>531</v>
      </c>
      <c r="D37" s="718" t="s">
        <v>532</v>
      </c>
      <c r="E37" s="717" t="s">
        <v>2049</v>
      </c>
      <c r="F37" s="718" t="s">
        <v>2050</v>
      </c>
      <c r="G37" s="717" t="s">
        <v>2106</v>
      </c>
      <c r="H37" s="717" t="s">
        <v>2107</v>
      </c>
      <c r="I37" s="720">
        <v>213.35000610351563</v>
      </c>
      <c r="J37" s="720">
        <v>30</v>
      </c>
      <c r="K37" s="721">
        <v>6400.409912109375</v>
      </c>
    </row>
    <row r="38" spans="1:11" ht="14.45" customHeight="1" x14ac:dyDescent="0.2">
      <c r="A38" s="715" t="s">
        <v>518</v>
      </c>
      <c r="B38" s="716" t="s">
        <v>519</v>
      </c>
      <c r="C38" s="717" t="s">
        <v>531</v>
      </c>
      <c r="D38" s="718" t="s">
        <v>532</v>
      </c>
      <c r="E38" s="717" t="s">
        <v>2049</v>
      </c>
      <c r="F38" s="718" t="s">
        <v>2050</v>
      </c>
      <c r="G38" s="717" t="s">
        <v>2108</v>
      </c>
      <c r="H38" s="717" t="s">
        <v>2109</v>
      </c>
      <c r="I38" s="720">
        <v>2722.5</v>
      </c>
      <c r="J38" s="720">
        <v>20</v>
      </c>
      <c r="K38" s="721">
        <v>54450</v>
      </c>
    </row>
    <row r="39" spans="1:11" ht="14.45" customHeight="1" x14ac:dyDescent="0.2">
      <c r="A39" s="715" t="s">
        <v>518</v>
      </c>
      <c r="B39" s="716" t="s">
        <v>519</v>
      </c>
      <c r="C39" s="717" t="s">
        <v>531</v>
      </c>
      <c r="D39" s="718" t="s">
        <v>532</v>
      </c>
      <c r="E39" s="717" t="s">
        <v>2049</v>
      </c>
      <c r="F39" s="718" t="s">
        <v>2050</v>
      </c>
      <c r="G39" s="717" t="s">
        <v>2108</v>
      </c>
      <c r="H39" s="717" t="s">
        <v>2110</v>
      </c>
      <c r="I39" s="720">
        <v>2722.5</v>
      </c>
      <c r="J39" s="720">
        <v>20</v>
      </c>
      <c r="K39" s="721">
        <v>54450</v>
      </c>
    </row>
    <row r="40" spans="1:11" ht="14.45" customHeight="1" x14ac:dyDescent="0.2">
      <c r="A40" s="715" t="s">
        <v>518</v>
      </c>
      <c r="B40" s="716" t="s">
        <v>519</v>
      </c>
      <c r="C40" s="717" t="s">
        <v>531</v>
      </c>
      <c r="D40" s="718" t="s">
        <v>532</v>
      </c>
      <c r="E40" s="717" t="s">
        <v>2049</v>
      </c>
      <c r="F40" s="718" t="s">
        <v>2050</v>
      </c>
      <c r="G40" s="717" t="s">
        <v>2111</v>
      </c>
      <c r="H40" s="717" t="s">
        <v>2112</v>
      </c>
      <c r="I40" s="720">
        <v>125.83999633789063</v>
      </c>
      <c r="J40" s="720">
        <v>5</v>
      </c>
      <c r="K40" s="721">
        <v>629.20001220703125</v>
      </c>
    </row>
    <row r="41" spans="1:11" ht="14.45" customHeight="1" x14ac:dyDescent="0.2">
      <c r="A41" s="715" t="s">
        <v>518</v>
      </c>
      <c r="B41" s="716" t="s">
        <v>519</v>
      </c>
      <c r="C41" s="717" t="s">
        <v>531</v>
      </c>
      <c r="D41" s="718" t="s">
        <v>532</v>
      </c>
      <c r="E41" s="717" t="s">
        <v>2049</v>
      </c>
      <c r="F41" s="718" t="s">
        <v>2050</v>
      </c>
      <c r="G41" s="717" t="s">
        <v>2113</v>
      </c>
      <c r="H41" s="717" t="s">
        <v>2114</v>
      </c>
      <c r="I41" s="720">
        <v>2624.5400390625</v>
      </c>
      <c r="J41" s="720">
        <v>1</v>
      </c>
      <c r="K41" s="721">
        <v>2624.5400390625</v>
      </c>
    </row>
    <row r="42" spans="1:11" ht="14.45" customHeight="1" x14ac:dyDescent="0.2">
      <c r="A42" s="715" t="s">
        <v>518</v>
      </c>
      <c r="B42" s="716" t="s">
        <v>519</v>
      </c>
      <c r="C42" s="717" t="s">
        <v>531</v>
      </c>
      <c r="D42" s="718" t="s">
        <v>532</v>
      </c>
      <c r="E42" s="717" t="s">
        <v>2115</v>
      </c>
      <c r="F42" s="718" t="s">
        <v>2116</v>
      </c>
      <c r="G42" s="717" t="s">
        <v>2117</v>
      </c>
      <c r="H42" s="717" t="s">
        <v>2118</v>
      </c>
      <c r="I42" s="720">
        <v>155.42999267578125</v>
      </c>
      <c r="J42" s="720">
        <v>3</v>
      </c>
      <c r="K42" s="721">
        <v>466.29000854492188</v>
      </c>
    </row>
    <row r="43" spans="1:11" ht="14.45" customHeight="1" x14ac:dyDescent="0.2">
      <c r="A43" s="715" t="s">
        <v>518</v>
      </c>
      <c r="B43" s="716" t="s">
        <v>519</v>
      </c>
      <c r="C43" s="717" t="s">
        <v>531</v>
      </c>
      <c r="D43" s="718" t="s">
        <v>532</v>
      </c>
      <c r="E43" s="717" t="s">
        <v>2119</v>
      </c>
      <c r="F43" s="718" t="s">
        <v>2120</v>
      </c>
      <c r="G43" s="717" t="s">
        <v>2121</v>
      </c>
      <c r="H43" s="717" t="s">
        <v>2122</v>
      </c>
      <c r="I43" s="720">
        <v>6.440000057220459</v>
      </c>
      <c r="J43" s="720">
        <v>500</v>
      </c>
      <c r="K43" s="721">
        <v>3220</v>
      </c>
    </row>
    <row r="44" spans="1:11" ht="14.45" customHeight="1" x14ac:dyDescent="0.2">
      <c r="A44" s="715" t="s">
        <v>518</v>
      </c>
      <c r="B44" s="716" t="s">
        <v>519</v>
      </c>
      <c r="C44" s="717" t="s">
        <v>531</v>
      </c>
      <c r="D44" s="718" t="s">
        <v>532</v>
      </c>
      <c r="E44" s="717" t="s">
        <v>2119</v>
      </c>
      <c r="F44" s="718" t="s">
        <v>2120</v>
      </c>
      <c r="G44" s="717" t="s">
        <v>2123</v>
      </c>
      <c r="H44" s="717" t="s">
        <v>2124</v>
      </c>
      <c r="I44" s="720">
        <v>713.57000732421875</v>
      </c>
      <c r="J44" s="720">
        <v>2</v>
      </c>
      <c r="K44" s="721">
        <v>1427.1400146484375</v>
      </c>
    </row>
    <row r="45" spans="1:11" ht="14.45" customHeight="1" x14ac:dyDescent="0.2">
      <c r="A45" s="715" t="s">
        <v>518</v>
      </c>
      <c r="B45" s="716" t="s">
        <v>519</v>
      </c>
      <c r="C45" s="717" t="s">
        <v>531</v>
      </c>
      <c r="D45" s="718" t="s">
        <v>532</v>
      </c>
      <c r="E45" s="717" t="s">
        <v>2119</v>
      </c>
      <c r="F45" s="718" t="s">
        <v>2120</v>
      </c>
      <c r="G45" s="717" t="s">
        <v>2125</v>
      </c>
      <c r="H45" s="717" t="s">
        <v>2126</v>
      </c>
      <c r="I45" s="720">
        <v>4.0999999046325684</v>
      </c>
      <c r="J45" s="720">
        <v>200</v>
      </c>
      <c r="K45" s="721">
        <v>820</v>
      </c>
    </row>
    <row r="46" spans="1:11" ht="14.45" customHeight="1" x14ac:dyDescent="0.2">
      <c r="A46" s="715" t="s">
        <v>518</v>
      </c>
      <c r="B46" s="716" t="s">
        <v>519</v>
      </c>
      <c r="C46" s="717" t="s">
        <v>531</v>
      </c>
      <c r="D46" s="718" t="s">
        <v>532</v>
      </c>
      <c r="E46" s="717" t="s">
        <v>2119</v>
      </c>
      <c r="F46" s="718" t="s">
        <v>2120</v>
      </c>
      <c r="G46" s="717" t="s">
        <v>2127</v>
      </c>
      <c r="H46" s="717" t="s">
        <v>2128</v>
      </c>
      <c r="I46" s="720">
        <v>6.25</v>
      </c>
      <c r="J46" s="720">
        <v>300</v>
      </c>
      <c r="K46" s="721">
        <v>1875.2000122070313</v>
      </c>
    </row>
    <row r="47" spans="1:11" ht="14.45" customHeight="1" x14ac:dyDescent="0.2">
      <c r="A47" s="715" t="s">
        <v>518</v>
      </c>
      <c r="B47" s="716" t="s">
        <v>519</v>
      </c>
      <c r="C47" s="717" t="s">
        <v>531</v>
      </c>
      <c r="D47" s="718" t="s">
        <v>532</v>
      </c>
      <c r="E47" s="717" t="s">
        <v>2119</v>
      </c>
      <c r="F47" s="718" t="s">
        <v>2120</v>
      </c>
      <c r="G47" s="717" t="s">
        <v>2127</v>
      </c>
      <c r="H47" s="717" t="s">
        <v>2129</v>
      </c>
      <c r="I47" s="720">
        <v>6.244999885559082</v>
      </c>
      <c r="J47" s="720">
        <v>630</v>
      </c>
      <c r="K47" s="721">
        <v>3934.5999755859375</v>
      </c>
    </row>
    <row r="48" spans="1:11" ht="14.45" customHeight="1" x14ac:dyDescent="0.2">
      <c r="A48" s="715" t="s">
        <v>518</v>
      </c>
      <c r="B48" s="716" t="s">
        <v>519</v>
      </c>
      <c r="C48" s="717" t="s">
        <v>531</v>
      </c>
      <c r="D48" s="718" t="s">
        <v>532</v>
      </c>
      <c r="E48" s="717" t="s">
        <v>2119</v>
      </c>
      <c r="F48" s="718" t="s">
        <v>2120</v>
      </c>
      <c r="G48" s="717" t="s">
        <v>2130</v>
      </c>
      <c r="H48" s="717" t="s">
        <v>2131</v>
      </c>
      <c r="I48" s="720">
        <v>9.0150003433227539</v>
      </c>
      <c r="J48" s="720">
        <v>140</v>
      </c>
      <c r="K48" s="721">
        <v>1262.1000366210938</v>
      </c>
    </row>
    <row r="49" spans="1:11" ht="14.45" customHeight="1" x14ac:dyDescent="0.2">
      <c r="A49" s="715" t="s">
        <v>518</v>
      </c>
      <c r="B49" s="716" t="s">
        <v>519</v>
      </c>
      <c r="C49" s="717" t="s">
        <v>531</v>
      </c>
      <c r="D49" s="718" t="s">
        <v>532</v>
      </c>
      <c r="E49" s="717" t="s">
        <v>2119</v>
      </c>
      <c r="F49" s="718" t="s">
        <v>2120</v>
      </c>
      <c r="G49" s="717" t="s">
        <v>2130</v>
      </c>
      <c r="H49" s="717" t="s">
        <v>2132</v>
      </c>
      <c r="I49" s="720">
        <v>9.0175004005432129</v>
      </c>
      <c r="J49" s="720">
        <v>700</v>
      </c>
      <c r="K49" s="721">
        <v>6312.6002197265625</v>
      </c>
    </row>
    <row r="50" spans="1:11" ht="14.45" customHeight="1" x14ac:dyDescent="0.2">
      <c r="A50" s="715" t="s">
        <v>518</v>
      </c>
      <c r="B50" s="716" t="s">
        <v>519</v>
      </c>
      <c r="C50" s="717" t="s">
        <v>531</v>
      </c>
      <c r="D50" s="718" t="s">
        <v>532</v>
      </c>
      <c r="E50" s="717" t="s">
        <v>2119</v>
      </c>
      <c r="F50" s="718" t="s">
        <v>2120</v>
      </c>
      <c r="G50" s="717" t="s">
        <v>2133</v>
      </c>
      <c r="H50" s="717" t="s">
        <v>2134</v>
      </c>
      <c r="I50" s="720">
        <v>8.5900001525878906</v>
      </c>
      <c r="J50" s="720">
        <v>280</v>
      </c>
      <c r="K50" s="721">
        <v>2405.300048828125</v>
      </c>
    </row>
    <row r="51" spans="1:11" ht="14.45" customHeight="1" x14ac:dyDescent="0.2">
      <c r="A51" s="715" t="s">
        <v>518</v>
      </c>
      <c r="B51" s="716" t="s">
        <v>519</v>
      </c>
      <c r="C51" s="717" t="s">
        <v>531</v>
      </c>
      <c r="D51" s="718" t="s">
        <v>532</v>
      </c>
      <c r="E51" s="717" t="s">
        <v>2119</v>
      </c>
      <c r="F51" s="718" t="s">
        <v>2120</v>
      </c>
      <c r="G51" s="717" t="s">
        <v>2135</v>
      </c>
      <c r="H51" s="717" t="s">
        <v>2136</v>
      </c>
      <c r="I51" s="720">
        <v>13.044000053405762</v>
      </c>
      <c r="J51" s="720">
        <v>560</v>
      </c>
      <c r="K51" s="721">
        <v>7304.1199340820313</v>
      </c>
    </row>
    <row r="52" spans="1:11" ht="14.45" customHeight="1" x14ac:dyDescent="0.2">
      <c r="A52" s="715" t="s">
        <v>518</v>
      </c>
      <c r="B52" s="716" t="s">
        <v>519</v>
      </c>
      <c r="C52" s="717" t="s">
        <v>531</v>
      </c>
      <c r="D52" s="718" t="s">
        <v>532</v>
      </c>
      <c r="E52" s="717" t="s">
        <v>2119</v>
      </c>
      <c r="F52" s="718" t="s">
        <v>2120</v>
      </c>
      <c r="G52" s="717" t="s">
        <v>2135</v>
      </c>
      <c r="H52" s="717" t="s">
        <v>2137</v>
      </c>
      <c r="I52" s="720">
        <v>13.039999961853027</v>
      </c>
      <c r="J52" s="720">
        <v>350</v>
      </c>
      <c r="K52" s="721">
        <v>4563.9999389648438</v>
      </c>
    </row>
    <row r="53" spans="1:11" ht="14.45" customHeight="1" x14ac:dyDescent="0.2">
      <c r="A53" s="715" t="s">
        <v>518</v>
      </c>
      <c r="B53" s="716" t="s">
        <v>519</v>
      </c>
      <c r="C53" s="717" t="s">
        <v>531</v>
      </c>
      <c r="D53" s="718" t="s">
        <v>532</v>
      </c>
      <c r="E53" s="717" t="s">
        <v>2119</v>
      </c>
      <c r="F53" s="718" t="s">
        <v>2120</v>
      </c>
      <c r="G53" s="717" t="s">
        <v>2138</v>
      </c>
      <c r="H53" s="717" t="s">
        <v>2139</v>
      </c>
      <c r="I53" s="720">
        <v>0.43666666746139526</v>
      </c>
      <c r="J53" s="720">
        <v>1800</v>
      </c>
      <c r="K53" s="721">
        <v>786</v>
      </c>
    </row>
    <row r="54" spans="1:11" ht="14.45" customHeight="1" x14ac:dyDescent="0.2">
      <c r="A54" s="715" t="s">
        <v>518</v>
      </c>
      <c r="B54" s="716" t="s">
        <v>519</v>
      </c>
      <c r="C54" s="717" t="s">
        <v>531</v>
      </c>
      <c r="D54" s="718" t="s">
        <v>532</v>
      </c>
      <c r="E54" s="717" t="s">
        <v>2119</v>
      </c>
      <c r="F54" s="718" t="s">
        <v>2120</v>
      </c>
      <c r="G54" s="717" t="s">
        <v>2140</v>
      </c>
      <c r="H54" s="717" t="s">
        <v>2141</v>
      </c>
      <c r="I54" s="720">
        <v>0.62999999523162842</v>
      </c>
      <c r="J54" s="720">
        <v>10700</v>
      </c>
      <c r="K54" s="721">
        <v>6741</v>
      </c>
    </row>
    <row r="55" spans="1:11" ht="14.45" customHeight="1" x14ac:dyDescent="0.2">
      <c r="A55" s="715" t="s">
        <v>518</v>
      </c>
      <c r="B55" s="716" t="s">
        <v>519</v>
      </c>
      <c r="C55" s="717" t="s">
        <v>531</v>
      </c>
      <c r="D55" s="718" t="s">
        <v>532</v>
      </c>
      <c r="E55" s="717" t="s">
        <v>2119</v>
      </c>
      <c r="F55" s="718" t="s">
        <v>2120</v>
      </c>
      <c r="G55" s="717" t="s">
        <v>2140</v>
      </c>
      <c r="H55" s="717" t="s">
        <v>2142</v>
      </c>
      <c r="I55" s="720">
        <v>0.62833333015441895</v>
      </c>
      <c r="J55" s="720">
        <v>12000</v>
      </c>
      <c r="K55" s="721">
        <v>7540</v>
      </c>
    </row>
    <row r="56" spans="1:11" ht="14.45" customHeight="1" x14ac:dyDescent="0.2">
      <c r="A56" s="715" t="s">
        <v>518</v>
      </c>
      <c r="B56" s="716" t="s">
        <v>519</v>
      </c>
      <c r="C56" s="717" t="s">
        <v>531</v>
      </c>
      <c r="D56" s="718" t="s">
        <v>532</v>
      </c>
      <c r="E56" s="717" t="s">
        <v>2119</v>
      </c>
      <c r="F56" s="718" t="s">
        <v>2120</v>
      </c>
      <c r="G56" s="717" t="s">
        <v>2143</v>
      </c>
      <c r="H56" s="717" t="s">
        <v>2144</v>
      </c>
      <c r="I56" s="720">
        <v>1.2924999594688416</v>
      </c>
      <c r="J56" s="720">
        <v>12800</v>
      </c>
      <c r="K56" s="721">
        <v>16522</v>
      </c>
    </row>
    <row r="57" spans="1:11" ht="14.45" customHeight="1" x14ac:dyDescent="0.2">
      <c r="A57" s="715" t="s">
        <v>518</v>
      </c>
      <c r="B57" s="716" t="s">
        <v>519</v>
      </c>
      <c r="C57" s="717" t="s">
        <v>531</v>
      </c>
      <c r="D57" s="718" t="s">
        <v>532</v>
      </c>
      <c r="E57" s="717" t="s">
        <v>2119</v>
      </c>
      <c r="F57" s="718" t="s">
        <v>2120</v>
      </c>
      <c r="G57" s="717" t="s">
        <v>2143</v>
      </c>
      <c r="H57" s="717" t="s">
        <v>2145</v>
      </c>
      <c r="I57" s="720">
        <v>1.2899999618530273</v>
      </c>
      <c r="J57" s="720">
        <v>10000</v>
      </c>
      <c r="K57" s="721">
        <v>12900</v>
      </c>
    </row>
    <row r="58" spans="1:11" ht="14.45" customHeight="1" x14ac:dyDescent="0.2">
      <c r="A58" s="715" t="s">
        <v>518</v>
      </c>
      <c r="B58" s="716" t="s">
        <v>519</v>
      </c>
      <c r="C58" s="717" t="s">
        <v>531</v>
      </c>
      <c r="D58" s="718" t="s">
        <v>532</v>
      </c>
      <c r="E58" s="717" t="s">
        <v>2119</v>
      </c>
      <c r="F58" s="718" t="s">
        <v>2120</v>
      </c>
      <c r="G58" s="717" t="s">
        <v>2146</v>
      </c>
      <c r="H58" s="717" t="s">
        <v>2147</v>
      </c>
      <c r="I58" s="720">
        <v>157.32000732421875</v>
      </c>
      <c r="J58" s="720">
        <v>72</v>
      </c>
      <c r="K58" s="721">
        <v>11327.039794921875</v>
      </c>
    </row>
    <row r="59" spans="1:11" ht="14.45" customHeight="1" x14ac:dyDescent="0.2">
      <c r="A59" s="715" t="s">
        <v>518</v>
      </c>
      <c r="B59" s="716" t="s">
        <v>519</v>
      </c>
      <c r="C59" s="717" t="s">
        <v>531</v>
      </c>
      <c r="D59" s="718" t="s">
        <v>532</v>
      </c>
      <c r="E59" s="717" t="s">
        <v>2119</v>
      </c>
      <c r="F59" s="718" t="s">
        <v>2120</v>
      </c>
      <c r="G59" s="717" t="s">
        <v>2146</v>
      </c>
      <c r="H59" s="717" t="s">
        <v>2148</v>
      </c>
      <c r="I59" s="720">
        <v>157.27333577473959</v>
      </c>
      <c r="J59" s="720">
        <v>96</v>
      </c>
      <c r="K59" s="721">
        <v>15096.359741210938</v>
      </c>
    </row>
    <row r="60" spans="1:11" ht="14.45" customHeight="1" x14ac:dyDescent="0.2">
      <c r="A60" s="715" t="s">
        <v>518</v>
      </c>
      <c r="B60" s="716" t="s">
        <v>519</v>
      </c>
      <c r="C60" s="717" t="s">
        <v>531</v>
      </c>
      <c r="D60" s="718" t="s">
        <v>532</v>
      </c>
      <c r="E60" s="717" t="s">
        <v>2119</v>
      </c>
      <c r="F60" s="718" t="s">
        <v>2120</v>
      </c>
      <c r="G60" s="717" t="s">
        <v>2149</v>
      </c>
      <c r="H60" s="717" t="s">
        <v>2150</v>
      </c>
      <c r="I60" s="720">
        <v>128.71000671386719</v>
      </c>
      <c r="J60" s="720">
        <v>20</v>
      </c>
      <c r="K60" s="721">
        <v>2574.159912109375</v>
      </c>
    </row>
    <row r="61" spans="1:11" ht="14.45" customHeight="1" x14ac:dyDescent="0.2">
      <c r="A61" s="715" t="s">
        <v>518</v>
      </c>
      <c r="B61" s="716" t="s">
        <v>519</v>
      </c>
      <c r="C61" s="717" t="s">
        <v>531</v>
      </c>
      <c r="D61" s="718" t="s">
        <v>532</v>
      </c>
      <c r="E61" s="717" t="s">
        <v>2119</v>
      </c>
      <c r="F61" s="718" t="s">
        <v>2120</v>
      </c>
      <c r="G61" s="717" t="s">
        <v>2151</v>
      </c>
      <c r="H61" s="717" t="s">
        <v>2152</v>
      </c>
      <c r="I61" s="720">
        <v>2.5399999618530273</v>
      </c>
      <c r="J61" s="720">
        <v>70</v>
      </c>
      <c r="K61" s="721">
        <v>177.80000305175781</v>
      </c>
    </row>
    <row r="62" spans="1:11" ht="14.45" customHeight="1" x14ac:dyDescent="0.2">
      <c r="A62" s="715" t="s">
        <v>518</v>
      </c>
      <c r="B62" s="716" t="s">
        <v>519</v>
      </c>
      <c r="C62" s="717" t="s">
        <v>531</v>
      </c>
      <c r="D62" s="718" t="s">
        <v>532</v>
      </c>
      <c r="E62" s="717" t="s">
        <v>2119</v>
      </c>
      <c r="F62" s="718" t="s">
        <v>2120</v>
      </c>
      <c r="G62" s="717" t="s">
        <v>2153</v>
      </c>
      <c r="H62" s="717" t="s">
        <v>2154</v>
      </c>
      <c r="I62" s="720">
        <v>111.55000305175781</v>
      </c>
      <c r="J62" s="720">
        <v>5</v>
      </c>
      <c r="K62" s="721">
        <v>557.75</v>
      </c>
    </row>
    <row r="63" spans="1:11" ht="14.45" customHeight="1" x14ac:dyDescent="0.2">
      <c r="A63" s="715" t="s">
        <v>518</v>
      </c>
      <c r="B63" s="716" t="s">
        <v>519</v>
      </c>
      <c r="C63" s="717" t="s">
        <v>531</v>
      </c>
      <c r="D63" s="718" t="s">
        <v>532</v>
      </c>
      <c r="E63" s="717" t="s">
        <v>2119</v>
      </c>
      <c r="F63" s="718" t="s">
        <v>2120</v>
      </c>
      <c r="G63" s="717" t="s">
        <v>2155</v>
      </c>
      <c r="H63" s="717" t="s">
        <v>2156</v>
      </c>
      <c r="I63" s="720">
        <v>642.08335367838538</v>
      </c>
      <c r="J63" s="720">
        <v>4</v>
      </c>
      <c r="K63" s="721">
        <v>2568.330078125</v>
      </c>
    </row>
    <row r="64" spans="1:11" ht="14.45" customHeight="1" x14ac:dyDescent="0.2">
      <c r="A64" s="715" t="s">
        <v>518</v>
      </c>
      <c r="B64" s="716" t="s">
        <v>519</v>
      </c>
      <c r="C64" s="717" t="s">
        <v>531</v>
      </c>
      <c r="D64" s="718" t="s">
        <v>532</v>
      </c>
      <c r="E64" s="717" t="s">
        <v>2119</v>
      </c>
      <c r="F64" s="718" t="s">
        <v>2120</v>
      </c>
      <c r="G64" s="717" t="s">
        <v>2157</v>
      </c>
      <c r="H64" s="717" t="s">
        <v>2158</v>
      </c>
      <c r="I64" s="720">
        <v>63.889999389648438</v>
      </c>
      <c r="J64" s="720">
        <v>10</v>
      </c>
      <c r="K64" s="721">
        <v>638.9000244140625</v>
      </c>
    </row>
    <row r="65" spans="1:11" ht="14.45" customHeight="1" x14ac:dyDescent="0.2">
      <c r="A65" s="715" t="s">
        <v>518</v>
      </c>
      <c r="B65" s="716" t="s">
        <v>519</v>
      </c>
      <c r="C65" s="717" t="s">
        <v>531</v>
      </c>
      <c r="D65" s="718" t="s">
        <v>532</v>
      </c>
      <c r="E65" s="717" t="s">
        <v>2119</v>
      </c>
      <c r="F65" s="718" t="s">
        <v>2120</v>
      </c>
      <c r="G65" s="717" t="s">
        <v>2159</v>
      </c>
      <c r="H65" s="717" t="s">
        <v>2160</v>
      </c>
      <c r="I65" s="720">
        <v>109.01999664306641</v>
      </c>
      <c r="J65" s="720">
        <v>10</v>
      </c>
      <c r="K65" s="721">
        <v>1090.199951171875</v>
      </c>
    </row>
    <row r="66" spans="1:11" ht="14.45" customHeight="1" x14ac:dyDescent="0.2">
      <c r="A66" s="715" t="s">
        <v>518</v>
      </c>
      <c r="B66" s="716" t="s">
        <v>519</v>
      </c>
      <c r="C66" s="717" t="s">
        <v>531</v>
      </c>
      <c r="D66" s="718" t="s">
        <v>532</v>
      </c>
      <c r="E66" s="717" t="s">
        <v>2119</v>
      </c>
      <c r="F66" s="718" t="s">
        <v>2120</v>
      </c>
      <c r="G66" s="717" t="s">
        <v>2161</v>
      </c>
      <c r="H66" s="717" t="s">
        <v>2162</v>
      </c>
      <c r="I66" s="720">
        <v>272.44000244140625</v>
      </c>
      <c r="J66" s="720">
        <v>12</v>
      </c>
      <c r="K66" s="721">
        <v>3269.280029296875</v>
      </c>
    </row>
    <row r="67" spans="1:11" ht="14.45" customHeight="1" x14ac:dyDescent="0.2">
      <c r="A67" s="715" t="s">
        <v>518</v>
      </c>
      <c r="B67" s="716" t="s">
        <v>519</v>
      </c>
      <c r="C67" s="717" t="s">
        <v>531</v>
      </c>
      <c r="D67" s="718" t="s">
        <v>532</v>
      </c>
      <c r="E67" s="717" t="s">
        <v>2119</v>
      </c>
      <c r="F67" s="718" t="s">
        <v>2120</v>
      </c>
      <c r="G67" s="717" t="s">
        <v>2163</v>
      </c>
      <c r="H67" s="717" t="s">
        <v>2164</v>
      </c>
      <c r="I67" s="720">
        <v>22.147999572753907</v>
      </c>
      <c r="J67" s="720">
        <v>350</v>
      </c>
      <c r="K67" s="721">
        <v>7752</v>
      </c>
    </row>
    <row r="68" spans="1:11" ht="14.45" customHeight="1" x14ac:dyDescent="0.2">
      <c r="A68" s="715" t="s">
        <v>518</v>
      </c>
      <c r="B68" s="716" t="s">
        <v>519</v>
      </c>
      <c r="C68" s="717" t="s">
        <v>531</v>
      </c>
      <c r="D68" s="718" t="s">
        <v>532</v>
      </c>
      <c r="E68" s="717" t="s">
        <v>2119</v>
      </c>
      <c r="F68" s="718" t="s">
        <v>2120</v>
      </c>
      <c r="G68" s="717" t="s">
        <v>2165</v>
      </c>
      <c r="H68" s="717" t="s">
        <v>2166</v>
      </c>
      <c r="I68" s="720">
        <v>30.177500247955322</v>
      </c>
      <c r="J68" s="720">
        <v>300</v>
      </c>
      <c r="K68" s="721">
        <v>9053</v>
      </c>
    </row>
    <row r="69" spans="1:11" ht="14.45" customHeight="1" x14ac:dyDescent="0.2">
      <c r="A69" s="715" t="s">
        <v>518</v>
      </c>
      <c r="B69" s="716" t="s">
        <v>519</v>
      </c>
      <c r="C69" s="717" t="s">
        <v>531</v>
      </c>
      <c r="D69" s="718" t="s">
        <v>532</v>
      </c>
      <c r="E69" s="717" t="s">
        <v>2119</v>
      </c>
      <c r="F69" s="718" t="s">
        <v>2120</v>
      </c>
      <c r="G69" s="717" t="s">
        <v>2167</v>
      </c>
      <c r="H69" s="717" t="s">
        <v>2168</v>
      </c>
      <c r="I69" s="720">
        <v>235.75</v>
      </c>
      <c r="J69" s="720">
        <v>30</v>
      </c>
      <c r="K69" s="721">
        <v>7072.5</v>
      </c>
    </row>
    <row r="70" spans="1:11" ht="14.45" customHeight="1" x14ac:dyDescent="0.2">
      <c r="A70" s="715" t="s">
        <v>518</v>
      </c>
      <c r="B70" s="716" t="s">
        <v>519</v>
      </c>
      <c r="C70" s="717" t="s">
        <v>531</v>
      </c>
      <c r="D70" s="718" t="s">
        <v>532</v>
      </c>
      <c r="E70" s="717" t="s">
        <v>2119</v>
      </c>
      <c r="F70" s="718" t="s">
        <v>2120</v>
      </c>
      <c r="G70" s="717" t="s">
        <v>2169</v>
      </c>
      <c r="H70" s="717" t="s">
        <v>2170</v>
      </c>
      <c r="I70" s="720">
        <v>361.10000610351563</v>
      </c>
      <c r="J70" s="720">
        <v>30</v>
      </c>
      <c r="K70" s="721">
        <v>10833.00048828125</v>
      </c>
    </row>
    <row r="71" spans="1:11" ht="14.45" customHeight="1" x14ac:dyDescent="0.2">
      <c r="A71" s="715" t="s">
        <v>518</v>
      </c>
      <c r="B71" s="716" t="s">
        <v>519</v>
      </c>
      <c r="C71" s="717" t="s">
        <v>531</v>
      </c>
      <c r="D71" s="718" t="s">
        <v>532</v>
      </c>
      <c r="E71" s="717" t="s">
        <v>2119</v>
      </c>
      <c r="F71" s="718" t="s">
        <v>2120</v>
      </c>
      <c r="G71" s="717" t="s">
        <v>2171</v>
      </c>
      <c r="H71" s="717" t="s">
        <v>2172</v>
      </c>
      <c r="I71" s="720">
        <v>138.77000427246094</v>
      </c>
      <c r="J71" s="720">
        <v>12</v>
      </c>
      <c r="K71" s="721">
        <v>1665.199951171875</v>
      </c>
    </row>
    <row r="72" spans="1:11" ht="14.45" customHeight="1" x14ac:dyDescent="0.2">
      <c r="A72" s="715" t="s">
        <v>518</v>
      </c>
      <c r="B72" s="716" t="s">
        <v>519</v>
      </c>
      <c r="C72" s="717" t="s">
        <v>531</v>
      </c>
      <c r="D72" s="718" t="s">
        <v>532</v>
      </c>
      <c r="E72" s="717" t="s">
        <v>2119</v>
      </c>
      <c r="F72" s="718" t="s">
        <v>2120</v>
      </c>
      <c r="G72" s="717" t="s">
        <v>2173</v>
      </c>
      <c r="H72" s="717" t="s">
        <v>2174</v>
      </c>
      <c r="I72" s="720">
        <v>5.2716666857401533</v>
      </c>
      <c r="J72" s="720">
        <v>210</v>
      </c>
      <c r="K72" s="721">
        <v>1107.1000213623047</v>
      </c>
    </row>
    <row r="73" spans="1:11" ht="14.45" customHeight="1" x14ac:dyDescent="0.2">
      <c r="A73" s="715" t="s">
        <v>518</v>
      </c>
      <c r="B73" s="716" t="s">
        <v>519</v>
      </c>
      <c r="C73" s="717" t="s">
        <v>531</v>
      </c>
      <c r="D73" s="718" t="s">
        <v>532</v>
      </c>
      <c r="E73" s="717" t="s">
        <v>2119</v>
      </c>
      <c r="F73" s="718" t="s">
        <v>2120</v>
      </c>
      <c r="G73" s="717" t="s">
        <v>2175</v>
      </c>
      <c r="H73" s="717" t="s">
        <v>2176</v>
      </c>
      <c r="I73" s="720">
        <v>3.6233332951863608</v>
      </c>
      <c r="J73" s="720">
        <v>110</v>
      </c>
      <c r="K73" s="721">
        <v>398.69001007080078</v>
      </c>
    </row>
    <row r="74" spans="1:11" ht="14.45" customHeight="1" x14ac:dyDescent="0.2">
      <c r="A74" s="715" t="s">
        <v>518</v>
      </c>
      <c r="B74" s="716" t="s">
        <v>519</v>
      </c>
      <c r="C74" s="717" t="s">
        <v>531</v>
      </c>
      <c r="D74" s="718" t="s">
        <v>532</v>
      </c>
      <c r="E74" s="717" t="s">
        <v>2119</v>
      </c>
      <c r="F74" s="718" t="s">
        <v>2120</v>
      </c>
      <c r="G74" s="717" t="s">
        <v>2177</v>
      </c>
      <c r="H74" s="717" t="s">
        <v>2178</v>
      </c>
      <c r="I74" s="720">
        <v>9.7799997329711914</v>
      </c>
      <c r="J74" s="720">
        <v>50</v>
      </c>
      <c r="K74" s="721">
        <v>488.75</v>
      </c>
    </row>
    <row r="75" spans="1:11" ht="14.45" customHeight="1" x14ac:dyDescent="0.2">
      <c r="A75" s="715" t="s">
        <v>518</v>
      </c>
      <c r="B75" s="716" t="s">
        <v>519</v>
      </c>
      <c r="C75" s="717" t="s">
        <v>531</v>
      </c>
      <c r="D75" s="718" t="s">
        <v>532</v>
      </c>
      <c r="E75" s="717" t="s">
        <v>2119</v>
      </c>
      <c r="F75" s="718" t="s">
        <v>2120</v>
      </c>
      <c r="G75" s="717" t="s">
        <v>2179</v>
      </c>
      <c r="H75" s="717" t="s">
        <v>2180</v>
      </c>
      <c r="I75" s="720">
        <v>44.279998779296875</v>
      </c>
      <c r="J75" s="720">
        <v>20</v>
      </c>
      <c r="K75" s="721">
        <v>885.65997314453125</v>
      </c>
    </row>
    <row r="76" spans="1:11" ht="14.45" customHeight="1" x14ac:dyDescent="0.2">
      <c r="A76" s="715" t="s">
        <v>518</v>
      </c>
      <c r="B76" s="716" t="s">
        <v>519</v>
      </c>
      <c r="C76" s="717" t="s">
        <v>531</v>
      </c>
      <c r="D76" s="718" t="s">
        <v>532</v>
      </c>
      <c r="E76" s="717" t="s">
        <v>2119</v>
      </c>
      <c r="F76" s="718" t="s">
        <v>2120</v>
      </c>
      <c r="G76" s="717" t="s">
        <v>2181</v>
      </c>
      <c r="H76" s="717" t="s">
        <v>2182</v>
      </c>
      <c r="I76" s="720">
        <v>159.55000305175781</v>
      </c>
      <c r="J76" s="720">
        <v>10</v>
      </c>
      <c r="K76" s="721">
        <v>1595.510009765625</v>
      </c>
    </row>
    <row r="77" spans="1:11" ht="14.45" customHeight="1" x14ac:dyDescent="0.2">
      <c r="A77" s="715" t="s">
        <v>518</v>
      </c>
      <c r="B77" s="716" t="s">
        <v>519</v>
      </c>
      <c r="C77" s="717" t="s">
        <v>531</v>
      </c>
      <c r="D77" s="718" t="s">
        <v>532</v>
      </c>
      <c r="E77" s="717" t="s">
        <v>2119</v>
      </c>
      <c r="F77" s="718" t="s">
        <v>2120</v>
      </c>
      <c r="G77" s="717" t="s">
        <v>2183</v>
      </c>
      <c r="H77" s="717" t="s">
        <v>2184</v>
      </c>
      <c r="I77" s="720">
        <v>300</v>
      </c>
      <c r="J77" s="720">
        <v>5</v>
      </c>
      <c r="K77" s="721">
        <v>1500</v>
      </c>
    </row>
    <row r="78" spans="1:11" ht="14.45" customHeight="1" x14ac:dyDescent="0.2">
      <c r="A78" s="715" t="s">
        <v>518</v>
      </c>
      <c r="B78" s="716" t="s">
        <v>519</v>
      </c>
      <c r="C78" s="717" t="s">
        <v>531</v>
      </c>
      <c r="D78" s="718" t="s">
        <v>532</v>
      </c>
      <c r="E78" s="717" t="s">
        <v>2119</v>
      </c>
      <c r="F78" s="718" t="s">
        <v>2120</v>
      </c>
      <c r="G78" s="717" t="s">
        <v>2185</v>
      </c>
      <c r="H78" s="717" t="s">
        <v>2186</v>
      </c>
      <c r="I78" s="720">
        <v>29.899999618530273</v>
      </c>
      <c r="J78" s="720">
        <v>10</v>
      </c>
      <c r="K78" s="721">
        <v>299</v>
      </c>
    </row>
    <row r="79" spans="1:11" ht="14.45" customHeight="1" x14ac:dyDescent="0.2">
      <c r="A79" s="715" t="s">
        <v>518</v>
      </c>
      <c r="B79" s="716" t="s">
        <v>519</v>
      </c>
      <c r="C79" s="717" t="s">
        <v>531</v>
      </c>
      <c r="D79" s="718" t="s">
        <v>532</v>
      </c>
      <c r="E79" s="717" t="s">
        <v>2119</v>
      </c>
      <c r="F79" s="718" t="s">
        <v>2120</v>
      </c>
      <c r="G79" s="717" t="s">
        <v>2187</v>
      </c>
      <c r="H79" s="717" t="s">
        <v>2188</v>
      </c>
      <c r="I79" s="720">
        <v>573.8499755859375</v>
      </c>
      <c r="J79" s="720">
        <v>1</v>
      </c>
      <c r="K79" s="721">
        <v>573.8499755859375</v>
      </c>
    </row>
    <row r="80" spans="1:11" ht="14.45" customHeight="1" x14ac:dyDescent="0.2">
      <c r="A80" s="715" t="s">
        <v>518</v>
      </c>
      <c r="B80" s="716" t="s">
        <v>519</v>
      </c>
      <c r="C80" s="717" t="s">
        <v>531</v>
      </c>
      <c r="D80" s="718" t="s">
        <v>532</v>
      </c>
      <c r="E80" s="717" t="s">
        <v>2119</v>
      </c>
      <c r="F80" s="718" t="s">
        <v>2120</v>
      </c>
      <c r="G80" s="717" t="s">
        <v>2189</v>
      </c>
      <c r="H80" s="717" t="s">
        <v>2190</v>
      </c>
      <c r="I80" s="720">
        <v>599.1500244140625</v>
      </c>
      <c r="J80" s="720">
        <v>3</v>
      </c>
      <c r="K80" s="721">
        <v>1797.449951171875</v>
      </c>
    </row>
    <row r="81" spans="1:11" ht="14.45" customHeight="1" x14ac:dyDescent="0.2">
      <c r="A81" s="715" t="s">
        <v>518</v>
      </c>
      <c r="B81" s="716" t="s">
        <v>519</v>
      </c>
      <c r="C81" s="717" t="s">
        <v>531</v>
      </c>
      <c r="D81" s="718" t="s">
        <v>532</v>
      </c>
      <c r="E81" s="717" t="s">
        <v>2119</v>
      </c>
      <c r="F81" s="718" t="s">
        <v>2120</v>
      </c>
      <c r="G81" s="717" t="s">
        <v>2191</v>
      </c>
      <c r="H81" s="717" t="s">
        <v>2192</v>
      </c>
      <c r="I81" s="720">
        <v>309.35000610351563</v>
      </c>
      <c r="J81" s="720">
        <v>15</v>
      </c>
      <c r="K81" s="721">
        <v>4640.2499694824219</v>
      </c>
    </row>
    <row r="82" spans="1:11" ht="14.45" customHeight="1" x14ac:dyDescent="0.2">
      <c r="A82" s="715" t="s">
        <v>518</v>
      </c>
      <c r="B82" s="716" t="s">
        <v>519</v>
      </c>
      <c r="C82" s="717" t="s">
        <v>531</v>
      </c>
      <c r="D82" s="718" t="s">
        <v>532</v>
      </c>
      <c r="E82" s="717" t="s">
        <v>2119</v>
      </c>
      <c r="F82" s="718" t="s">
        <v>2120</v>
      </c>
      <c r="G82" s="717" t="s">
        <v>2193</v>
      </c>
      <c r="H82" s="717" t="s">
        <v>2194</v>
      </c>
      <c r="I82" s="720">
        <v>5.8425000905990601</v>
      </c>
      <c r="J82" s="720">
        <v>600</v>
      </c>
      <c r="K82" s="721">
        <v>3505</v>
      </c>
    </row>
    <row r="83" spans="1:11" ht="14.45" customHeight="1" x14ac:dyDescent="0.2">
      <c r="A83" s="715" t="s">
        <v>518</v>
      </c>
      <c r="B83" s="716" t="s">
        <v>519</v>
      </c>
      <c r="C83" s="717" t="s">
        <v>531</v>
      </c>
      <c r="D83" s="718" t="s">
        <v>532</v>
      </c>
      <c r="E83" s="717" t="s">
        <v>2119</v>
      </c>
      <c r="F83" s="718" t="s">
        <v>2120</v>
      </c>
      <c r="G83" s="717" t="s">
        <v>2195</v>
      </c>
      <c r="H83" s="717" t="s">
        <v>2196</v>
      </c>
      <c r="I83" s="720">
        <v>14.121999931335449</v>
      </c>
      <c r="J83" s="720">
        <v>500</v>
      </c>
      <c r="K83" s="721">
        <v>7061.5</v>
      </c>
    </row>
    <row r="84" spans="1:11" ht="14.45" customHeight="1" x14ac:dyDescent="0.2">
      <c r="A84" s="715" t="s">
        <v>518</v>
      </c>
      <c r="B84" s="716" t="s">
        <v>519</v>
      </c>
      <c r="C84" s="717" t="s">
        <v>531</v>
      </c>
      <c r="D84" s="718" t="s">
        <v>532</v>
      </c>
      <c r="E84" s="717" t="s">
        <v>2119</v>
      </c>
      <c r="F84" s="718" t="s">
        <v>2120</v>
      </c>
      <c r="G84" s="717" t="s">
        <v>2197</v>
      </c>
      <c r="H84" s="717" t="s">
        <v>2198</v>
      </c>
      <c r="I84" s="720">
        <v>13.739999771118164</v>
      </c>
      <c r="J84" s="720">
        <v>50</v>
      </c>
      <c r="K84" s="721">
        <v>687.239990234375</v>
      </c>
    </row>
    <row r="85" spans="1:11" ht="14.45" customHeight="1" x14ac:dyDescent="0.2">
      <c r="A85" s="715" t="s">
        <v>518</v>
      </c>
      <c r="B85" s="716" t="s">
        <v>519</v>
      </c>
      <c r="C85" s="717" t="s">
        <v>531</v>
      </c>
      <c r="D85" s="718" t="s">
        <v>532</v>
      </c>
      <c r="E85" s="717" t="s">
        <v>2119</v>
      </c>
      <c r="F85" s="718" t="s">
        <v>2120</v>
      </c>
      <c r="G85" s="717" t="s">
        <v>2199</v>
      </c>
      <c r="H85" s="717" t="s">
        <v>2200</v>
      </c>
      <c r="I85" s="720">
        <v>86.379997253417969</v>
      </c>
      <c r="J85" s="720">
        <v>10</v>
      </c>
      <c r="K85" s="721">
        <v>863.75</v>
      </c>
    </row>
    <row r="86" spans="1:11" ht="14.45" customHeight="1" x14ac:dyDescent="0.2">
      <c r="A86" s="715" t="s">
        <v>518</v>
      </c>
      <c r="B86" s="716" t="s">
        <v>519</v>
      </c>
      <c r="C86" s="717" t="s">
        <v>531</v>
      </c>
      <c r="D86" s="718" t="s">
        <v>532</v>
      </c>
      <c r="E86" s="717" t="s">
        <v>2119</v>
      </c>
      <c r="F86" s="718" t="s">
        <v>2120</v>
      </c>
      <c r="G86" s="717" t="s">
        <v>2201</v>
      </c>
      <c r="H86" s="717" t="s">
        <v>2202</v>
      </c>
      <c r="I86" s="720">
        <v>6.440000057220459</v>
      </c>
      <c r="J86" s="720">
        <v>100</v>
      </c>
      <c r="K86" s="721">
        <v>644</v>
      </c>
    </row>
    <row r="87" spans="1:11" ht="14.45" customHeight="1" x14ac:dyDescent="0.2">
      <c r="A87" s="715" t="s">
        <v>518</v>
      </c>
      <c r="B87" s="716" t="s">
        <v>519</v>
      </c>
      <c r="C87" s="717" t="s">
        <v>531</v>
      </c>
      <c r="D87" s="718" t="s">
        <v>532</v>
      </c>
      <c r="E87" s="717" t="s">
        <v>2119</v>
      </c>
      <c r="F87" s="718" t="s">
        <v>2120</v>
      </c>
      <c r="G87" s="717" t="s">
        <v>2149</v>
      </c>
      <c r="H87" s="717" t="s">
        <v>2203</v>
      </c>
      <c r="I87" s="720">
        <v>128.70750427246094</v>
      </c>
      <c r="J87" s="720">
        <v>35</v>
      </c>
      <c r="K87" s="721">
        <v>4504.7799072265625</v>
      </c>
    </row>
    <row r="88" spans="1:11" ht="14.45" customHeight="1" x14ac:dyDescent="0.2">
      <c r="A88" s="715" t="s">
        <v>518</v>
      </c>
      <c r="B88" s="716" t="s">
        <v>519</v>
      </c>
      <c r="C88" s="717" t="s">
        <v>531</v>
      </c>
      <c r="D88" s="718" t="s">
        <v>532</v>
      </c>
      <c r="E88" s="717" t="s">
        <v>2119</v>
      </c>
      <c r="F88" s="718" t="s">
        <v>2120</v>
      </c>
      <c r="G88" s="717" t="s">
        <v>2153</v>
      </c>
      <c r="H88" s="717" t="s">
        <v>2204</v>
      </c>
      <c r="I88" s="720">
        <v>111.55000305175781</v>
      </c>
      <c r="J88" s="720">
        <v>10</v>
      </c>
      <c r="K88" s="721">
        <v>1115.5</v>
      </c>
    </row>
    <row r="89" spans="1:11" ht="14.45" customHeight="1" x14ac:dyDescent="0.2">
      <c r="A89" s="715" t="s">
        <v>518</v>
      </c>
      <c r="B89" s="716" t="s">
        <v>519</v>
      </c>
      <c r="C89" s="717" t="s">
        <v>531</v>
      </c>
      <c r="D89" s="718" t="s">
        <v>532</v>
      </c>
      <c r="E89" s="717" t="s">
        <v>2119</v>
      </c>
      <c r="F89" s="718" t="s">
        <v>2120</v>
      </c>
      <c r="G89" s="717" t="s">
        <v>2155</v>
      </c>
      <c r="H89" s="717" t="s">
        <v>2205</v>
      </c>
      <c r="I89" s="720">
        <v>642.08602294921877</v>
      </c>
      <c r="J89" s="720">
        <v>8</v>
      </c>
      <c r="K89" s="721">
        <v>5136.7001342773438</v>
      </c>
    </row>
    <row r="90" spans="1:11" ht="14.45" customHeight="1" x14ac:dyDescent="0.2">
      <c r="A90" s="715" t="s">
        <v>518</v>
      </c>
      <c r="B90" s="716" t="s">
        <v>519</v>
      </c>
      <c r="C90" s="717" t="s">
        <v>531</v>
      </c>
      <c r="D90" s="718" t="s">
        <v>532</v>
      </c>
      <c r="E90" s="717" t="s">
        <v>2119</v>
      </c>
      <c r="F90" s="718" t="s">
        <v>2120</v>
      </c>
      <c r="G90" s="717" t="s">
        <v>2157</v>
      </c>
      <c r="H90" s="717" t="s">
        <v>2206</v>
      </c>
      <c r="I90" s="720">
        <v>63.430000305175781</v>
      </c>
      <c r="J90" s="720">
        <v>10</v>
      </c>
      <c r="K90" s="721">
        <v>634.29998779296875</v>
      </c>
    </row>
    <row r="91" spans="1:11" ht="14.45" customHeight="1" x14ac:dyDescent="0.2">
      <c r="A91" s="715" t="s">
        <v>518</v>
      </c>
      <c r="B91" s="716" t="s">
        <v>519</v>
      </c>
      <c r="C91" s="717" t="s">
        <v>531</v>
      </c>
      <c r="D91" s="718" t="s">
        <v>532</v>
      </c>
      <c r="E91" s="717" t="s">
        <v>2119</v>
      </c>
      <c r="F91" s="718" t="s">
        <v>2120</v>
      </c>
      <c r="G91" s="717" t="s">
        <v>2207</v>
      </c>
      <c r="H91" s="717" t="s">
        <v>2208</v>
      </c>
      <c r="I91" s="720">
        <v>449.3699951171875</v>
      </c>
      <c r="J91" s="720">
        <v>10</v>
      </c>
      <c r="K91" s="721">
        <v>4493.740234375</v>
      </c>
    </row>
    <row r="92" spans="1:11" ht="14.45" customHeight="1" x14ac:dyDescent="0.2">
      <c r="A92" s="715" t="s">
        <v>518</v>
      </c>
      <c r="B92" s="716" t="s">
        <v>519</v>
      </c>
      <c r="C92" s="717" t="s">
        <v>531</v>
      </c>
      <c r="D92" s="718" t="s">
        <v>532</v>
      </c>
      <c r="E92" s="717" t="s">
        <v>2119</v>
      </c>
      <c r="F92" s="718" t="s">
        <v>2120</v>
      </c>
      <c r="G92" s="717" t="s">
        <v>2209</v>
      </c>
      <c r="H92" s="717" t="s">
        <v>2210</v>
      </c>
      <c r="I92" s="720">
        <v>764.58001708984375</v>
      </c>
      <c r="J92" s="720">
        <v>10</v>
      </c>
      <c r="K92" s="721">
        <v>7645.75</v>
      </c>
    </row>
    <row r="93" spans="1:11" ht="14.45" customHeight="1" x14ac:dyDescent="0.2">
      <c r="A93" s="715" t="s">
        <v>518</v>
      </c>
      <c r="B93" s="716" t="s">
        <v>519</v>
      </c>
      <c r="C93" s="717" t="s">
        <v>531</v>
      </c>
      <c r="D93" s="718" t="s">
        <v>532</v>
      </c>
      <c r="E93" s="717" t="s">
        <v>2119</v>
      </c>
      <c r="F93" s="718" t="s">
        <v>2120</v>
      </c>
      <c r="G93" s="717" t="s">
        <v>2161</v>
      </c>
      <c r="H93" s="717" t="s">
        <v>2211</v>
      </c>
      <c r="I93" s="720">
        <v>272.43499755859375</v>
      </c>
      <c r="J93" s="720">
        <v>12</v>
      </c>
      <c r="K93" s="721">
        <v>3269.2099609375</v>
      </c>
    </row>
    <row r="94" spans="1:11" ht="14.45" customHeight="1" x14ac:dyDescent="0.2">
      <c r="A94" s="715" t="s">
        <v>518</v>
      </c>
      <c r="B94" s="716" t="s">
        <v>519</v>
      </c>
      <c r="C94" s="717" t="s">
        <v>531</v>
      </c>
      <c r="D94" s="718" t="s">
        <v>532</v>
      </c>
      <c r="E94" s="717" t="s">
        <v>2119</v>
      </c>
      <c r="F94" s="718" t="s">
        <v>2120</v>
      </c>
      <c r="G94" s="717" t="s">
        <v>2163</v>
      </c>
      <c r="H94" s="717" t="s">
        <v>2212</v>
      </c>
      <c r="I94" s="720">
        <v>22.149999618530273</v>
      </c>
      <c r="J94" s="720">
        <v>625</v>
      </c>
      <c r="K94" s="721">
        <v>13843.75</v>
      </c>
    </row>
    <row r="95" spans="1:11" ht="14.45" customHeight="1" x14ac:dyDescent="0.2">
      <c r="A95" s="715" t="s">
        <v>518</v>
      </c>
      <c r="B95" s="716" t="s">
        <v>519</v>
      </c>
      <c r="C95" s="717" t="s">
        <v>531</v>
      </c>
      <c r="D95" s="718" t="s">
        <v>532</v>
      </c>
      <c r="E95" s="717" t="s">
        <v>2119</v>
      </c>
      <c r="F95" s="718" t="s">
        <v>2120</v>
      </c>
      <c r="G95" s="717" t="s">
        <v>2165</v>
      </c>
      <c r="H95" s="717" t="s">
        <v>2213</v>
      </c>
      <c r="I95" s="720">
        <v>30.176666895548504</v>
      </c>
      <c r="J95" s="720">
        <v>425</v>
      </c>
      <c r="K95" s="721">
        <v>12825.75</v>
      </c>
    </row>
    <row r="96" spans="1:11" ht="14.45" customHeight="1" x14ac:dyDescent="0.2">
      <c r="A96" s="715" t="s">
        <v>518</v>
      </c>
      <c r="B96" s="716" t="s">
        <v>519</v>
      </c>
      <c r="C96" s="717" t="s">
        <v>531</v>
      </c>
      <c r="D96" s="718" t="s">
        <v>532</v>
      </c>
      <c r="E96" s="717" t="s">
        <v>2119</v>
      </c>
      <c r="F96" s="718" t="s">
        <v>2120</v>
      </c>
      <c r="G96" s="717" t="s">
        <v>2167</v>
      </c>
      <c r="H96" s="717" t="s">
        <v>2214</v>
      </c>
      <c r="I96" s="720">
        <v>235.75</v>
      </c>
      <c r="J96" s="720">
        <v>6</v>
      </c>
      <c r="K96" s="721">
        <v>1414.5</v>
      </c>
    </row>
    <row r="97" spans="1:11" ht="14.45" customHeight="1" x14ac:dyDescent="0.2">
      <c r="A97" s="715" t="s">
        <v>518</v>
      </c>
      <c r="B97" s="716" t="s">
        <v>519</v>
      </c>
      <c r="C97" s="717" t="s">
        <v>531</v>
      </c>
      <c r="D97" s="718" t="s">
        <v>532</v>
      </c>
      <c r="E97" s="717" t="s">
        <v>2119</v>
      </c>
      <c r="F97" s="718" t="s">
        <v>2120</v>
      </c>
      <c r="G97" s="717" t="s">
        <v>2169</v>
      </c>
      <c r="H97" s="717" t="s">
        <v>2215</v>
      </c>
      <c r="I97" s="720">
        <v>361.10000610351563</v>
      </c>
      <c r="J97" s="720">
        <v>6</v>
      </c>
      <c r="K97" s="721">
        <v>2166.60009765625</v>
      </c>
    </row>
    <row r="98" spans="1:11" ht="14.45" customHeight="1" x14ac:dyDescent="0.2">
      <c r="A98" s="715" t="s">
        <v>518</v>
      </c>
      <c r="B98" s="716" t="s">
        <v>519</v>
      </c>
      <c r="C98" s="717" t="s">
        <v>531</v>
      </c>
      <c r="D98" s="718" t="s">
        <v>532</v>
      </c>
      <c r="E98" s="717" t="s">
        <v>2119</v>
      </c>
      <c r="F98" s="718" t="s">
        <v>2120</v>
      </c>
      <c r="G98" s="717" t="s">
        <v>2171</v>
      </c>
      <c r="H98" s="717" t="s">
        <v>2216</v>
      </c>
      <c r="I98" s="720">
        <v>138.76625061035156</v>
      </c>
      <c r="J98" s="720">
        <v>96</v>
      </c>
      <c r="K98" s="721">
        <v>13321.599975585938</v>
      </c>
    </row>
    <row r="99" spans="1:11" ht="14.45" customHeight="1" x14ac:dyDescent="0.2">
      <c r="A99" s="715" t="s">
        <v>518</v>
      </c>
      <c r="B99" s="716" t="s">
        <v>519</v>
      </c>
      <c r="C99" s="717" t="s">
        <v>531</v>
      </c>
      <c r="D99" s="718" t="s">
        <v>532</v>
      </c>
      <c r="E99" s="717" t="s">
        <v>2119</v>
      </c>
      <c r="F99" s="718" t="s">
        <v>2120</v>
      </c>
      <c r="G99" s="717" t="s">
        <v>2217</v>
      </c>
      <c r="H99" s="717" t="s">
        <v>2218</v>
      </c>
      <c r="I99" s="720">
        <v>2.880000114440918</v>
      </c>
      <c r="J99" s="720">
        <v>50</v>
      </c>
      <c r="K99" s="721">
        <v>144</v>
      </c>
    </row>
    <row r="100" spans="1:11" ht="14.45" customHeight="1" x14ac:dyDescent="0.2">
      <c r="A100" s="715" t="s">
        <v>518</v>
      </c>
      <c r="B100" s="716" t="s">
        <v>519</v>
      </c>
      <c r="C100" s="717" t="s">
        <v>531</v>
      </c>
      <c r="D100" s="718" t="s">
        <v>532</v>
      </c>
      <c r="E100" s="717" t="s">
        <v>2119</v>
      </c>
      <c r="F100" s="718" t="s">
        <v>2120</v>
      </c>
      <c r="G100" s="717" t="s">
        <v>2173</v>
      </c>
      <c r="H100" s="717" t="s">
        <v>2219</v>
      </c>
      <c r="I100" s="720">
        <v>5.2750000953674316</v>
      </c>
      <c r="J100" s="720">
        <v>260</v>
      </c>
      <c r="K100" s="721">
        <v>1371.2999877929688</v>
      </c>
    </row>
    <row r="101" spans="1:11" ht="14.45" customHeight="1" x14ac:dyDescent="0.2">
      <c r="A101" s="715" t="s">
        <v>518</v>
      </c>
      <c r="B101" s="716" t="s">
        <v>519</v>
      </c>
      <c r="C101" s="717" t="s">
        <v>531</v>
      </c>
      <c r="D101" s="718" t="s">
        <v>532</v>
      </c>
      <c r="E101" s="717" t="s">
        <v>2119</v>
      </c>
      <c r="F101" s="718" t="s">
        <v>2120</v>
      </c>
      <c r="G101" s="717" t="s">
        <v>2175</v>
      </c>
      <c r="H101" s="717" t="s">
        <v>2220</v>
      </c>
      <c r="I101" s="720">
        <v>3.625</v>
      </c>
      <c r="J101" s="720">
        <v>100</v>
      </c>
      <c r="K101" s="721">
        <v>362.41000366210938</v>
      </c>
    </row>
    <row r="102" spans="1:11" ht="14.45" customHeight="1" x14ac:dyDescent="0.2">
      <c r="A102" s="715" t="s">
        <v>518</v>
      </c>
      <c r="B102" s="716" t="s">
        <v>519</v>
      </c>
      <c r="C102" s="717" t="s">
        <v>531</v>
      </c>
      <c r="D102" s="718" t="s">
        <v>532</v>
      </c>
      <c r="E102" s="717" t="s">
        <v>2119</v>
      </c>
      <c r="F102" s="718" t="s">
        <v>2120</v>
      </c>
      <c r="G102" s="717" t="s">
        <v>2177</v>
      </c>
      <c r="H102" s="717" t="s">
        <v>2221</v>
      </c>
      <c r="I102" s="720">
        <v>9.7799997329711914</v>
      </c>
      <c r="J102" s="720">
        <v>350</v>
      </c>
      <c r="K102" s="721">
        <v>3421.25</v>
      </c>
    </row>
    <row r="103" spans="1:11" ht="14.45" customHeight="1" x14ac:dyDescent="0.2">
      <c r="A103" s="715" t="s">
        <v>518</v>
      </c>
      <c r="B103" s="716" t="s">
        <v>519</v>
      </c>
      <c r="C103" s="717" t="s">
        <v>531</v>
      </c>
      <c r="D103" s="718" t="s">
        <v>532</v>
      </c>
      <c r="E103" s="717" t="s">
        <v>2119</v>
      </c>
      <c r="F103" s="718" t="s">
        <v>2120</v>
      </c>
      <c r="G103" s="717" t="s">
        <v>2179</v>
      </c>
      <c r="H103" s="717" t="s">
        <v>2222</v>
      </c>
      <c r="I103" s="720">
        <v>44.290000915527344</v>
      </c>
      <c r="J103" s="720">
        <v>30</v>
      </c>
      <c r="K103" s="721">
        <v>1328.5999755859375</v>
      </c>
    </row>
    <row r="104" spans="1:11" ht="14.45" customHeight="1" x14ac:dyDescent="0.2">
      <c r="A104" s="715" t="s">
        <v>518</v>
      </c>
      <c r="B104" s="716" t="s">
        <v>519</v>
      </c>
      <c r="C104" s="717" t="s">
        <v>531</v>
      </c>
      <c r="D104" s="718" t="s">
        <v>532</v>
      </c>
      <c r="E104" s="717" t="s">
        <v>2119</v>
      </c>
      <c r="F104" s="718" t="s">
        <v>2120</v>
      </c>
      <c r="G104" s="717" t="s">
        <v>2223</v>
      </c>
      <c r="H104" s="717" t="s">
        <v>2224</v>
      </c>
      <c r="I104" s="720">
        <v>123.19000244140625</v>
      </c>
      <c r="J104" s="720">
        <v>10</v>
      </c>
      <c r="K104" s="721">
        <v>1231.8800048828125</v>
      </c>
    </row>
    <row r="105" spans="1:11" ht="14.45" customHeight="1" x14ac:dyDescent="0.2">
      <c r="A105" s="715" t="s">
        <v>518</v>
      </c>
      <c r="B105" s="716" t="s">
        <v>519</v>
      </c>
      <c r="C105" s="717" t="s">
        <v>531</v>
      </c>
      <c r="D105" s="718" t="s">
        <v>532</v>
      </c>
      <c r="E105" s="717" t="s">
        <v>2119</v>
      </c>
      <c r="F105" s="718" t="s">
        <v>2120</v>
      </c>
      <c r="G105" s="717" t="s">
        <v>2225</v>
      </c>
      <c r="H105" s="717" t="s">
        <v>2226</v>
      </c>
      <c r="I105" s="720">
        <v>283.01998901367188</v>
      </c>
      <c r="J105" s="720">
        <v>5</v>
      </c>
      <c r="K105" s="721">
        <v>1415.0999755859375</v>
      </c>
    </row>
    <row r="106" spans="1:11" ht="14.45" customHeight="1" x14ac:dyDescent="0.2">
      <c r="A106" s="715" t="s">
        <v>518</v>
      </c>
      <c r="B106" s="716" t="s">
        <v>519</v>
      </c>
      <c r="C106" s="717" t="s">
        <v>531</v>
      </c>
      <c r="D106" s="718" t="s">
        <v>532</v>
      </c>
      <c r="E106" s="717" t="s">
        <v>2119</v>
      </c>
      <c r="F106" s="718" t="s">
        <v>2120</v>
      </c>
      <c r="G106" s="717" t="s">
        <v>2227</v>
      </c>
      <c r="H106" s="717" t="s">
        <v>2228</v>
      </c>
      <c r="I106" s="720">
        <v>380.8800048828125</v>
      </c>
      <c r="J106" s="720">
        <v>5</v>
      </c>
      <c r="K106" s="721">
        <v>1904.4000244140625</v>
      </c>
    </row>
    <row r="107" spans="1:11" ht="14.45" customHeight="1" x14ac:dyDescent="0.2">
      <c r="A107" s="715" t="s">
        <v>518</v>
      </c>
      <c r="B107" s="716" t="s">
        <v>519</v>
      </c>
      <c r="C107" s="717" t="s">
        <v>531</v>
      </c>
      <c r="D107" s="718" t="s">
        <v>532</v>
      </c>
      <c r="E107" s="717" t="s">
        <v>2119</v>
      </c>
      <c r="F107" s="718" t="s">
        <v>2120</v>
      </c>
      <c r="G107" s="717" t="s">
        <v>2229</v>
      </c>
      <c r="H107" s="717" t="s">
        <v>2230</v>
      </c>
      <c r="I107" s="720">
        <v>69</v>
      </c>
      <c r="J107" s="720">
        <v>10</v>
      </c>
      <c r="K107" s="721">
        <v>690</v>
      </c>
    </row>
    <row r="108" spans="1:11" ht="14.45" customHeight="1" x14ac:dyDescent="0.2">
      <c r="A108" s="715" t="s">
        <v>518</v>
      </c>
      <c r="B108" s="716" t="s">
        <v>519</v>
      </c>
      <c r="C108" s="717" t="s">
        <v>531</v>
      </c>
      <c r="D108" s="718" t="s">
        <v>532</v>
      </c>
      <c r="E108" s="717" t="s">
        <v>2119</v>
      </c>
      <c r="F108" s="718" t="s">
        <v>2120</v>
      </c>
      <c r="G108" s="717" t="s">
        <v>2187</v>
      </c>
      <c r="H108" s="717" t="s">
        <v>2231</v>
      </c>
      <c r="I108" s="720">
        <v>573.8499755859375</v>
      </c>
      <c r="J108" s="720">
        <v>8</v>
      </c>
      <c r="K108" s="721">
        <v>4590.800048828125</v>
      </c>
    </row>
    <row r="109" spans="1:11" ht="14.45" customHeight="1" x14ac:dyDescent="0.2">
      <c r="A109" s="715" t="s">
        <v>518</v>
      </c>
      <c r="B109" s="716" t="s">
        <v>519</v>
      </c>
      <c r="C109" s="717" t="s">
        <v>531</v>
      </c>
      <c r="D109" s="718" t="s">
        <v>532</v>
      </c>
      <c r="E109" s="717" t="s">
        <v>2119</v>
      </c>
      <c r="F109" s="718" t="s">
        <v>2120</v>
      </c>
      <c r="G109" s="717" t="s">
        <v>2189</v>
      </c>
      <c r="H109" s="717" t="s">
        <v>2232</v>
      </c>
      <c r="I109" s="720">
        <v>599.1500244140625</v>
      </c>
      <c r="J109" s="720">
        <v>3</v>
      </c>
      <c r="K109" s="721">
        <v>1797.449951171875</v>
      </c>
    </row>
    <row r="110" spans="1:11" ht="14.45" customHeight="1" x14ac:dyDescent="0.2">
      <c r="A110" s="715" t="s">
        <v>518</v>
      </c>
      <c r="B110" s="716" t="s">
        <v>519</v>
      </c>
      <c r="C110" s="717" t="s">
        <v>531</v>
      </c>
      <c r="D110" s="718" t="s">
        <v>532</v>
      </c>
      <c r="E110" s="717" t="s">
        <v>2119</v>
      </c>
      <c r="F110" s="718" t="s">
        <v>2120</v>
      </c>
      <c r="G110" s="717" t="s">
        <v>2191</v>
      </c>
      <c r="H110" s="717" t="s">
        <v>2233</v>
      </c>
      <c r="I110" s="720">
        <v>309.35000610351563</v>
      </c>
      <c r="J110" s="720">
        <v>10</v>
      </c>
      <c r="K110" s="721">
        <v>3093.5</v>
      </c>
    </row>
    <row r="111" spans="1:11" ht="14.45" customHeight="1" x14ac:dyDescent="0.2">
      <c r="A111" s="715" t="s">
        <v>518</v>
      </c>
      <c r="B111" s="716" t="s">
        <v>519</v>
      </c>
      <c r="C111" s="717" t="s">
        <v>531</v>
      </c>
      <c r="D111" s="718" t="s">
        <v>532</v>
      </c>
      <c r="E111" s="717" t="s">
        <v>2119</v>
      </c>
      <c r="F111" s="718" t="s">
        <v>2120</v>
      </c>
      <c r="G111" s="717" t="s">
        <v>2234</v>
      </c>
      <c r="H111" s="717" t="s">
        <v>2235</v>
      </c>
      <c r="I111" s="720">
        <v>21.059999465942383</v>
      </c>
      <c r="J111" s="720">
        <v>50</v>
      </c>
      <c r="K111" s="721">
        <v>1053.1700439453125</v>
      </c>
    </row>
    <row r="112" spans="1:11" ht="14.45" customHeight="1" x14ac:dyDescent="0.2">
      <c r="A112" s="715" t="s">
        <v>518</v>
      </c>
      <c r="B112" s="716" t="s">
        <v>519</v>
      </c>
      <c r="C112" s="717" t="s">
        <v>531</v>
      </c>
      <c r="D112" s="718" t="s">
        <v>532</v>
      </c>
      <c r="E112" s="717" t="s">
        <v>2119</v>
      </c>
      <c r="F112" s="718" t="s">
        <v>2120</v>
      </c>
      <c r="G112" s="717" t="s">
        <v>2193</v>
      </c>
      <c r="H112" s="717" t="s">
        <v>2236</v>
      </c>
      <c r="I112" s="720">
        <v>5.8420001029968258</v>
      </c>
      <c r="J112" s="720">
        <v>600</v>
      </c>
      <c r="K112" s="721">
        <v>3505</v>
      </c>
    </row>
    <row r="113" spans="1:11" ht="14.45" customHeight="1" x14ac:dyDescent="0.2">
      <c r="A113" s="715" t="s">
        <v>518</v>
      </c>
      <c r="B113" s="716" t="s">
        <v>519</v>
      </c>
      <c r="C113" s="717" t="s">
        <v>531</v>
      </c>
      <c r="D113" s="718" t="s">
        <v>532</v>
      </c>
      <c r="E113" s="717" t="s">
        <v>2119</v>
      </c>
      <c r="F113" s="718" t="s">
        <v>2120</v>
      </c>
      <c r="G113" s="717" t="s">
        <v>2195</v>
      </c>
      <c r="H113" s="717" t="s">
        <v>2237</v>
      </c>
      <c r="I113" s="720">
        <v>14.119999885559082</v>
      </c>
      <c r="J113" s="720">
        <v>150</v>
      </c>
      <c r="K113" s="721">
        <v>2118</v>
      </c>
    </row>
    <row r="114" spans="1:11" ht="14.45" customHeight="1" x14ac:dyDescent="0.2">
      <c r="A114" s="715" t="s">
        <v>518</v>
      </c>
      <c r="B114" s="716" t="s">
        <v>519</v>
      </c>
      <c r="C114" s="717" t="s">
        <v>531</v>
      </c>
      <c r="D114" s="718" t="s">
        <v>532</v>
      </c>
      <c r="E114" s="717" t="s">
        <v>2119</v>
      </c>
      <c r="F114" s="718" t="s">
        <v>2120</v>
      </c>
      <c r="G114" s="717" t="s">
        <v>2238</v>
      </c>
      <c r="H114" s="717" t="s">
        <v>2239</v>
      </c>
      <c r="I114" s="720">
        <v>98.44000244140625</v>
      </c>
      <c r="J114" s="720">
        <v>96</v>
      </c>
      <c r="K114" s="721">
        <v>9450.240234375</v>
      </c>
    </row>
    <row r="115" spans="1:11" ht="14.45" customHeight="1" x14ac:dyDescent="0.2">
      <c r="A115" s="715" t="s">
        <v>518</v>
      </c>
      <c r="B115" s="716" t="s">
        <v>519</v>
      </c>
      <c r="C115" s="717" t="s">
        <v>531</v>
      </c>
      <c r="D115" s="718" t="s">
        <v>532</v>
      </c>
      <c r="E115" s="717" t="s">
        <v>2119</v>
      </c>
      <c r="F115" s="718" t="s">
        <v>2120</v>
      </c>
      <c r="G115" s="717" t="s">
        <v>2240</v>
      </c>
      <c r="H115" s="717" t="s">
        <v>2241</v>
      </c>
      <c r="I115" s="720">
        <v>124.55000305175781</v>
      </c>
      <c r="J115" s="720">
        <v>40</v>
      </c>
      <c r="K115" s="721">
        <v>4981.849853515625</v>
      </c>
    </row>
    <row r="116" spans="1:11" ht="14.45" customHeight="1" x14ac:dyDescent="0.2">
      <c r="A116" s="715" t="s">
        <v>518</v>
      </c>
      <c r="B116" s="716" t="s">
        <v>519</v>
      </c>
      <c r="C116" s="717" t="s">
        <v>531</v>
      </c>
      <c r="D116" s="718" t="s">
        <v>532</v>
      </c>
      <c r="E116" s="717" t="s">
        <v>2119</v>
      </c>
      <c r="F116" s="718" t="s">
        <v>2120</v>
      </c>
      <c r="G116" s="717" t="s">
        <v>2242</v>
      </c>
      <c r="H116" s="717" t="s">
        <v>2243</v>
      </c>
      <c r="I116" s="720">
        <v>1.3799999952316284</v>
      </c>
      <c r="J116" s="720">
        <v>400</v>
      </c>
      <c r="K116" s="721">
        <v>552</v>
      </c>
    </row>
    <row r="117" spans="1:11" ht="14.45" customHeight="1" x14ac:dyDescent="0.2">
      <c r="A117" s="715" t="s">
        <v>518</v>
      </c>
      <c r="B117" s="716" t="s">
        <v>519</v>
      </c>
      <c r="C117" s="717" t="s">
        <v>531</v>
      </c>
      <c r="D117" s="718" t="s">
        <v>532</v>
      </c>
      <c r="E117" s="717" t="s">
        <v>2119</v>
      </c>
      <c r="F117" s="718" t="s">
        <v>2120</v>
      </c>
      <c r="G117" s="717" t="s">
        <v>2244</v>
      </c>
      <c r="H117" s="717" t="s">
        <v>2245</v>
      </c>
      <c r="I117" s="720">
        <v>0.85333335399627686</v>
      </c>
      <c r="J117" s="720">
        <v>1900</v>
      </c>
      <c r="K117" s="721">
        <v>1621</v>
      </c>
    </row>
    <row r="118" spans="1:11" ht="14.45" customHeight="1" x14ac:dyDescent="0.2">
      <c r="A118" s="715" t="s">
        <v>518</v>
      </c>
      <c r="B118" s="716" t="s">
        <v>519</v>
      </c>
      <c r="C118" s="717" t="s">
        <v>531</v>
      </c>
      <c r="D118" s="718" t="s">
        <v>532</v>
      </c>
      <c r="E118" s="717" t="s">
        <v>2119</v>
      </c>
      <c r="F118" s="718" t="s">
        <v>2120</v>
      </c>
      <c r="G118" s="717" t="s">
        <v>2246</v>
      </c>
      <c r="H118" s="717" t="s">
        <v>2247</v>
      </c>
      <c r="I118" s="720">
        <v>1.5149999856948853</v>
      </c>
      <c r="J118" s="720">
        <v>1400</v>
      </c>
      <c r="K118" s="721">
        <v>2120.5</v>
      </c>
    </row>
    <row r="119" spans="1:11" ht="14.45" customHeight="1" x14ac:dyDescent="0.2">
      <c r="A119" s="715" t="s">
        <v>518</v>
      </c>
      <c r="B119" s="716" t="s">
        <v>519</v>
      </c>
      <c r="C119" s="717" t="s">
        <v>531</v>
      </c>
      <c r="D119" s="718" t="s">
        <v>532</v>
      </c>
      <c r="E119" s="717" t="s">
        <v>2119</v>
      </c>
      <c r="F119" s="718" t="s">
        <v>2120</v>
      </c>
      <c r="G119" s="717" t="s">
        <v>2248</v>
      </c>
      <c r="H119" s="717" t="s">
        <v>2249</v>
      </c>
      <c r="I119" s="720">
        <v>2.06333327293396</v>
      </c>
      <c r="J119" s="720">
        <v>300</v>
      </c>
      <c r="K119" s="721">
        <v>618.5</v>
      </c>
    </row>
    <row r="120" spans="1:11" ht="14.45" customHeight="1" x14ac:dyDescent="0.2">
      <c r="A120" s="715" t="s">
        <v>518</v>
      </c>
      <c r="B120" s="716" t="s">
        <v>519</v>
      </c>
      <c r="C120" s="717" t="s">
        <v>531</v>
      </c>
      <c r="D120" s="718" t="s">
        <v>532</v>
      </c>
      <c r="E120" s="717" t="s">
        <v>2119</v>
      </c>
      <c r="F120" s="718" t="s">
        <v>2120</v>
      </c>
      <c r="G120" s="717" t="s">
        <v>2250</v>
      </c>
      <c r="H120" s="717" t="s">
        <v>2251</v>
      </c>
      <c r="I120" s="720">
        <v>3.3659998893737795</v>
      </c>
      <c r="J120" s="720">
        <v>250</v>
      </c>
      <c r="K120" s="721">
        <v>841.5</v>
      </c>
    </row>
    <row r="121" spans="1:11" ht="14.45" customHeight="1" x14ac:dyDescent="0.2">
      <c r="A121" s="715" t="s">
        <v>518</v>
      </c>
      <c r="B121" s="716" t="s">
        <v>519</v>
      </c>
      <c r="C121" s="717" t="s">
        <v>531</v>
      </c>
      <c r="D121" s="718" t="s">
        <v>532</v>
      </c>
      <c r="E121" s="717" t="s">
        <v>2119</v>
      </c>
      <c r="F121" s="718" t="s">
        <v>2120</v>
      </c>
      <c r="G121" s="717" t="s">
        <v>2252</v>
      </c>
      <c r="H121" s="717" t="s">
        <v>2253</v>
      </c>
      <c r="I121" s="720">
        <v>5.875</v>
      </c>
      <c r="J121" s="720">
        <v>100</v>
      </c>
      <c r="K121" s="721">
        <v>587.5</v>
      </c>
    </row>
    <row r="122" spans="1:11" ht="14.45" customHeight="1" x14ac:dyDescent="0.2">
      <c r="A122" s="715" t="s">
        <v>518</v>
      </c>
      <c r="B122" s="716" t="s">
        <v>519</v>
      </c>
      <c r="C122" s="717" t="s">
        <v>531</v>
      </c>
      <c r="D122" s="718" t="s">
        <v>532</v>
      </c>
      <c r="E122" s="717" t="s">
        <v>2119</v>
      </c>
      <c r="F122" s="718" t="s">
        <v>2120</v>
      </c>
      <c r="G122" s="717" t="s">
        <v>2254</v>
      </c>
      <c r="H122" s="717" t="s">
        <v>2255</v>
      </c>
      <c r="I122" s="720">
        <v>9.2950000762939453</v>
      </c>
      <c r="J122" s="720">
        <v>150</v>
      </c>
      <c r="K122" s="721">
        <v>1394.5</v>
      </c>
    </row>
    <row r="123" spans="1:11" ht="14.45" customHeight="1" x14ac:dyDescent="0.2">
      <c r="A123" s="715" t="s">
        <v>518</v>
      </c>
      <c r="B123" s="716" t="s">
        <v>519</v>
      </c>
      <c r="C123" s="717" t="s">
        <v>531</v>
      </c>
      <c r="D123" s="718" t="s">
        <v>532</v>
      </c>
      <c r="E123" s="717" t="s">
        <v>2119</v>
      </c>
      <c r="F123" s="718" t="s">
        <v>2120</v>
      </c>
      <c r="G123" s="717" t="s">
        <v>2256</v>
      </c>
      <c r="H123" s="717" t="s">
        <v>2257</v>
      </c>
      <c r="I123" s="720">
        <v>8.119999885559082</v>
      </c>
      <c r="J123" s="720">
        <v>68</v>
      </c>
      <c r="K123" s="721">
        <v>552.16000366210938</v>
      </c>
    </row>
    <row r="124" spans="1:11" ht="14.45" customHeight="1" x14ac:dyDescent="0.2">
      <c r="A124" s="715" t="s">
        <v>518</v>
      </c>
      <c r="B124" s="716" t="s">
        <v>519</v>
      </c>
      <c r="C124" s="717" t="s">
        <v>531</v>
      </c>
      <c r="D124" s="718" t="s">
        <v>532</v>
      </c>
      <c r="E124" s="717" t="s">
        <v>2119</v>
      </c>
      <c r="F124" s="718" t="s">
        <v>2120</v>
      </c>
      <c r="G124" s="717" t="s">
        <v>2258</v>
      </c>
      <c r="H124" s="717" t="s">
        <v>2259</v>
      </c>
      <c r="I124" s="720">
        <v>67.760002136230469</v>
      </c>
      <c r="J124" s="720">
        <v>10</v>
      </c>
      <c r="K124" s="721">
        <v>677.5999755859375</v>
      </c>
    </row>
    <row r="125" spans="1:11" ht="14.45" customHeight="1" x14ac:dyDescent="0.2">
      <c r="A125" s="715" t="s">
        <v>518</v>
      </c>
      <c r="B125" s="716" t="s">
        <v>519</v>
      </c>
      <c r="C125" s="717" t="s">
        <v>531</v>
      </c>
      <c r="D125" s="718" t="s">
        <v>532</v>
      </c>
      <c r="E125" s="717" t="s">
        <v>2119</v>
      </c>
      <c r="F125" s="718" t="s">
        <v>2120</v>
      </c>
      <c r="G125" s="717" t="s">
        <v>2260</v>
      </c>
      <c r="H125" s="717" t="s">
        <v>2261</v>
      </c>
      <c r="I125" s="720">
        <v>46</v>
      </c>
      <c r="J125" s="720">
        <v>3</v>
      </c>
      <c r="K125" s="721">
        <v>138</v>
      </c>
    </row>
    <row r="126" spans="1:11" ht="14.45" customHeight="1" x14ac:dyDescent="0.2">
      <c r="A126" s="715" t="s">
        <v>518</v>
      </c>
      <c r="B126" s="716" t="s">
        <v>519</v>
      </c>
      <c r="C126" s="717" t="s">
        <v>531</v>
      </c>
      <c r="D126" s="718" t="s">
        <v>532</v>
      </c>
      <c r="E126" s="717" t="s">
        <v>2119</v>
      </c>
      <c r="F126" s="718" t="s">
        <v>2120</v>
      </c>
      <c r="G126" s="717" t="s">
        <v>2262</v>
      </c>
      <c r="H126" s="717" t="s">
        <v>2263</v>
      </c>
      <c r="I126" s="720">
        <v>26.164999961853027</v>
      </c>
      <c r="J126" s="720">
        <v>8</v>
      </c>
      <c r="K126" s="721">
        <v>209.31999969482422</v>
      </c>
    </row>
    <row r="127" spans="1:11" ht="14.45" customHeight="1" x14ac:dyDescent="0.2">
      <c r="A127" s="715" t="s">
        <v>518</v>
      </c>
      <c r="B127" s="716" t="s">
        <v>519</v>
      </c>
      <c r="C127" s="717" t="s">
        <v>531</v>
      </c>
      <c r="D127" s="718" t="s">
        <v>532</v>
      </c>
      <c r="E127" s="717" t="s">
        <v>2119</v>
      </c>
      <c r="F127" s="718" t="s">
        <v>2120</v>
      </c>
      <c r="G127" s="717" t="s">
        <v>2264</v>
      </c>
      <c r="H127" s="717" t="s">
        <v>2265</v>
      </c>
      <c r="I127" s="720">
        <v>46.315000534057617</v>
      </c>
      <c r="J127" s="720">
        <v>18</v>
      </c>
      <c r="K127" s="721">
        <v>833.70001220703125</v>
      </c>
    </row>
    <row r="128" spans="1:11" ht="14.45" customHeight="1" x14ac:dyDescent="0.2">
      <c r="A128" s="715" t="s">
        <v>518</v>
      </c>
      <c r="B128" s="716" t="s">
        <v>519</v>
      </c>
      <c r="C128" s="717" t="s">
        <v>531</v>
      </c>
      <c r="D128" s="718" t="s">
        <v>532</v>
      </c>
      <c r="E128" s="717" t="s">
        <v>2119</v>
      </c>
      <c r="F128" s="718" t="s">
        <v>2120</v>
      </c>
      <c r="G128" s="717" t="s">
        <v>2266</v>
      </c>
      <c r="H128" s="717" t="s">
        <v>2267</v>
      </c>
      <c r="I128" s="720">
        <v>7.630000114440918</v>
      </c>
      <c r="J128" s="720">
        <v>108</v>
      </c>
      <c r="K128" s="721">
        <v>824.03997802734375</v>
      </c>
    </row>
    <row r="129" spans="1:11" ht="14.45" customHeight="1" x14ac:dyDescent="0.2">
      <c r="A129" s="715" t="s">
        <v>518</v>
      </c>
      <c r="B129" s="716" t="s">
        <v>519</v>
      </c>
      <c r="C129" s="717" t="s">
        <v>531</v>
      </c>
      <c r="D129" s="718" t="s">
        <v>532</v>
      </c>
      <c r="E129" s="717" t="s">
        <v>2119</v>
      </c>
      <c r="F129" s="718" t="s">
        <v>2120</v>
      </c>
      <c r="G129" s="717" t="s">
        <v>2268</v>
      </c>
      <c r="H129" s="717" t="s">
        <v>2269</v>
      </c>
      <c r="I129" s="720">
        <v>15.799999237060547</v>
      </c>
      <c r="J129" s="720">
        <v>300</v>
      </c>
      <c r="K129" s="721">
        <v>5688.059946289286</v>
      </c>
    </row>
    <row r="130" spans="1:11" ht="14.45" customHeight="1" x14ac:dyDescent="0.2">
      <c r="A130" s="715" t="s">
        <v>518</v>
      </c>
      <c r="B130" s="716" t="s">
        <v>519</v>
      </c>
      <c r="C130" s="717" t="s">
        <v>531</v>
      </c>
      <c r="D130" s="718" t="s">
        <v>532</v>
      </c>
      <c r="E130" s="717" t="s">
        <v>2119</v>
      </c>
      <c r="F130" s="718" t="s">
        <v>2120</v>
      </c>
      <c r="G130" s="717" t="s">
        <v>2270</v>
      </c>
      <c r="H130" s="717" t="s">
        <v>2271</v>
      </c>
      <c r="I130" s="720">
        <v>25.549999237060547</v>
      </c>
      <c r="J130" s="720">
        <v>24</v>
      </c>
      <c r="K130" s="721">
        <v>613.20001220703125</v>
      </c>
    </row>
    <row r="131" spans="1:11" ht="14.45" customHeight="1" x14ac:dyDescent="0.2">
      <c r="A131" s="715" t="s">
        <v>518</v>
      </c>
      <c r="B131" s="716" t="s">
        <v>519</v>
      </c>
      <c r="C131" s="717" t="s">
        <v>531</v>
      </c>
      <c r="D131" s="718" t="s">
        <v>532</v>
      </c>
      <c r="E131" s="717" t="s">
        <v>2119</v>
      </c>
      <c r="F131" s="718" t="s">
        <v>2120</v>
      </c>
      <c r="G131" s="717" t="s">
        <v>2242</v>
      </c>
      <c r="H131" s="717" t="s">
        <v>2272</v>
      </c>
      <c r="I131" s="720">
        <v>1.3799999952316284</v>
      </c>
      <c r="J131" s="720">
        <v>750</v>
      </c>
      <c r="K131" s="721">
        <v>1035</v>
      </c>
    </row>
    <row r="132" spans="1:11" ht="14.45" customHeight="1" x14ac:dyDescent="0.2">
      <c r="A132" s="715" t="s">
        <v>518</v>
      </c>
      <c r="B132" s="716" t="s">
        <v>519</v>
      </c>
      <c r="C132" s="717" t="s">
        <v>531</v>
      </c>
      <c r="D132" s="718" t="s">
        <v>532</v>
      </c>
      <c r="E132" s="717" t="s">
        <v>2119</v>
      </c>
      <c r="F132" s="718" t="s">
        <v>2120</v>
      </c>
      <c r="G132" s="717" t="s">
        <v>2244</v>
      </c>
      <c r="H132" s="717" t="s">
        <v>2273</v>
      </c>
      <c r="I132" s="720">
        <v>0.85750001668930054</v>
      </c>
      <c r="J132" s="720">
        <v>2300</v>
      </c>
      <c r="K132" s="721">
        <v>1973</v>
      </c>
    </row>
    <row r="133" spans="1:11" ht="14.45" customHeight="1" x14ac:dyDescent="0.2">
      <c r="A133" s="715" t="s">
        <v>518</v>
      </c>
      <c r="B133" s="716" t="s">
        <v>519</v>
      </c>
      <c r="C133" s="717" t="s">
        <v>531</v>
      </c>
      <c r="D133" s="718" t="s">
        <v>532</v>
      </c>
      <c r="E133" s="717" t="s">
        <v>2119</v>
      </c>
      <c r="F133" s="718" t="s">
        <v>2120</v>
      </c>
      <c r="G133" s="717" t="s">
        <v>2246</v>
      </c>
      <c r="H133" s="717" t="s">
        <v>2274</v>
      </c>
      <c r="I133" s="720">
        <v>1.5139999866485596</v>
      </c>
      <c r="J133" s="720">
        <v>1350</v>
      </c>
      <c r="K133" s="721">
        <v>2043.5</v>
      </c>
    </row>
    <row r="134" spans="1:11" ht="14.45" customHeight="1" x14ac:dyDescent="0.2">
      <c r="A134" s="715" t="s">
        <v>518</v>
      </c>
      <c r="B134" s="716" t="s">
        <v>519</v>
      </c>
      <c r="C134" s="717" t="s">
        <v>531</v>
      </c>
      <c r="D134" s="718" t="s">
        <v>532</v>
      </c>
      <c r="E134" s="717" t="s">
        <v>2119</v>
      </c>
      <c r="F134" s="718" t="s">
        <v>2120</v>
      </c>
      <c r="G134" s="717" t="s">
        <v>2248</v>
      </c>
      <c r="H134" s="717" t="s">
        <v>2275</v>
      </c>
      <c r="I134" s="720">
        <v>2.059999942779541</v>
      </c>
      <c r="J134" s="720">
        <v>650</v>
      </c>
      <c r="K134" s="721">
        <v>1339</v>
      </c>
    </row>
    <row r="135" spans="1:11" ht="14.45" customHeight="1" x14ac:dyDescent="0.2">
      <c r="A135" s="715" t="s">
        <v>518</v>
      </c>
      <c r="B135" s="716" t="s">
        <v>519</v>
      </c>
      <c r="C135" s="717" t="s">
        <v>531</v>
      </c>
      <c r="D135" s="718" t="s">
        <v>532</v>
      </c>
      <c r="E135" s="717" t="s">
        <v>2119</v>
      </c>
      <c r="F135" s="718" t="s">
        <v>2120</v>
      </c>
      <c r="G135" s="717" t="s">
        <v>2250</v>
      </c>
      <c r="H135" s="717" t="s">
        <v>2276</v>
      </c>
      <c r="I135" s="720">
        <v>3.3599998950958252</v>
      </c>
      <c r="J135" s="720">
        <v>150</v>
      </c>
      <c r="K135" s="721">
        <v>504</v>
      </c>
    </row>
    <row r="136" spans="1:11" ht="14.45" customHeight="1" x14ac:dyDescent="0.2">
      <c r="A136" s="715" t="s">
        <v>518</v>
      </c>
      <c r="B136" s="716" t="s">
        <v>519</v>
      </c>
      <c r="C136" s="717" t="s">
        <v>531</v>
      </c>
      <c r="D136" s="718" t="s">
        <v>532</v>
      </c>
      <c r="E136" s="717" t="s">
        <v>2119</v>
      </c>
      <c r="F136" s="718" t="s">
        <v>2120</v>
      </c>
      <c r="G136" s="717" t="s">
        <v>2252</v>
      </c>
      <c r="H136" s="717" t="s">
        <v>2277</v>
      </c>
      <c r="I136" s="720">
        <v>5.875</v>
      </c>
      <c r="J136" s="720">
        <v>200</v>
      </c>
      <c r="K136" s="721">
        <v>1175.5</v>
      </c>
    </row>
    <row r="137" spans="1:11" ht="14.45" customHeight="1" x14ac:dyDescent="0.2">
      <c r="A137" s="715" t="s">
        <v>518</v>
      </c>
      <c r="B137" s="716" t="s">
        <v>519</v>
      </c>
      <c r="C137" s="717" t="s">
        <v>531</v>
      </c>
      <c r="D137" s="718" t="s">
        <v>532</v>
      </c>
      <c r="E137" s="717" t="s">
        <v>2119</v>
      </c>
      <c r="F137" s="718" t="s">
        <v>2120</v>
      </c>
      <c r="G137" s="717" t="s">
        <v>2254</v>
      </c>
      <c r="H137" s="717" t="s">
        <v>2278</v>
      </c>
      <c r="I137" s="720">
        <v>9.2933333714803066</v>
      </c>
      <c r="J137" s="720">
        <v>200</v>
      </c>
      <c r="K137" s="721">
        <v>1859</v>
      </c>
    </row>
    <row r="138" spans="1:11" ht="14.45" customHeight="1" x14ac:dyDescent="0.2">
      <c r="A138" s="715" t="s">
        <v>518</v>
      </c>
      <c r="B138" s="716" t="s">
        <v>519</v>
      </c>
      <c r="C138" s="717" t="s">
        <v>531</v>
      </c>
      <c r="D138" s="718" t="s">
        <v>532</v>
      </c>
      <c r="E138" s="717" t="s">
        <v>2119</v>
      </c>
      <c r="F138" s="718" t="s">
        <v>2120</v>
      </c>
      <c r="G138" s="717" t="s">
        <v>2256</v>
      </c>
      <c r="H138" s="717" t="s">
        <v>2279</v>
      </c>
      <c r="I138" s="720">
        <v>8.119999885559082</v>
      </c>
      <c r="J138" s="720">
        <v>60</v>
      </c>
      <c r="K138" s="721">
        <v>487.20001220703125</v>
      </c>
    </row>
    <row r="139" spans="1:11" ht="14.45" customHeight="1" x14ac:dyDescent="0.2">
      <c r="A139" s="715" t="s">
        <v>518</v>
      </c>
      <c r="B139" s="716" t="s">
        <v>519</v>
      </c>
      <c r="C139" s="717" t="s">
        <v>531</v>
      </c>
      <c r="D139" s="718" t="s">
        <v>532</v>
      </c>
      <c r="E139" s="717" t="s">
        <v>2119</v>
      </c>
      <c r="F139" s="718" t="s">
        <v>2120</v>
      </c>
      <c r="G139" s="717" t="s">
        <v>2258</v>
      </c>
      <c r="H139" s="717" t="s">
        <v>2280</v>
      </c>
      <c r="I139" s="720">
        <v>67.760002136230469</v>
      </c>
      <c r="J139" s="720">
        <v>36</v>
      </c>
      <c r="K139" s="721">
        <v>2439.3599548339844</v>
      </c>
    </row>
    <row r="140" spans="1:11" ht="14.45" customHeight="1" x14ac:dyDescent="0.2">
      <c r="A140" s="715" t="s">
        <v>518</v>
      </c>
      <c r="B140" s="716" t="s">
        <v>519</v>
      </c>
      <c r="C140" s="717" t="s">
        <v>531</v>
      </c>
      <c r="D140" s="718" t="s">
        <v>532</v>
      </c>
      <c r="E140" s="717" t="s">
        <v>2119</v>
      </c>
      <c r="F140" s="718" t="s">
        <v>2120</v>
      </c>
      <c r="G140" s="717" t="s">
        <v>2260</v>
      </c>
      <c r="H140" s="717" t="s">
        <v>2281</v>
      </c>
      <c r="I140" s="720">
        <v>46</v>
      </c>
      <c r="J140" s="720">
        <v>4</v>
      </c>
      <c r="K140" s="721">
        <v>184</v>
      </c>
    </row>
    <row r="141" spans="1:11" ht="14.45" customHeight="1" x14ac:dyDescent="0.2">
      <c r="A141" s="715" t="s">
        <v>518</v>
      </c>
      <c r="B141" s="716" t="s">
        <v>519</v>
      </c>
      <c r="C141" s="717" t="s">
        <v>531</v>
      </c>
      <c r="D141" s="718" t="s">
        <v>532</v>
      </c>
      <c r="E141" s="717" t="s">
        <v>2119</v>
      </c>
      <c r="F141" s="718" t="s">
        <v>2120</v>
      </c>
      <c r="G141" s="717" t="s">
        <v>2262</v>
      </c>
      <c r="H141" s="717" t="s">
        <v>2282</v>
      </c>
      <c r="I141" s="720">
        <v>26.166666666666668</v>
      </c>
      <c r="J141" s="720">
        <v>8</v>
      </c>
      <c r="K141" s="721">
        <v>209.31999969482422</v>
      </c>
    </row>
    <row r="142" spans="1:11" ht="14.45" customHeight="1" x14ac:dyDescent="0.2">
      <c r="A142" s="715" t="s">
        <v>518</v>
      </c>
      <c r="B142" s="716" t="s">
        <v>519</v>
      </c>
      <c r="C142" s="717" t="s">
        <v>531</v>
      </c>
      <c r="D142" s="718" t="s">
        <v>532</v>
      </c>
      <c r="E142" s="717" t="s">
        <v>2119</v>
      </c>
      <c r="F142" s="718" t="s">
        <v>2120</v>
      </c>
      <c r="G142" s="717" t="s">
        <v>2264</v>
      </c>
      <c r="H142" s="717" t="s">
        <v>2283</v>
      </c>
      <c r="I142" s="720">
        <v>46.317500114440918</v>
      </c>
      <c r="J142" s="720">
        <v>22</v>
      </c>
      <c r="K142" s="721">
        <v>1018.9800109863281</v>
      </c>
    </row>
    <row r="143" spans="1:11" ht="14.45" customHeight="1" x14ac:dyDescent="0.2">
      <c r="A143" s="715" t="s">
        <v>518</v>
      </c>
      <c r="B143" s="716" t="s">
        <v>519</v>
      </c>
      <c r="C143" s="717" t="s">
        <v>531</v>
      </c>
      <c r="D143" s="718" t="s">
        <v>532</v>
      </c>
      <c r="E143" s="717" t="s">
        <v>2119</v>
      </c>
      <c r="F143" s="718" t="s">
        <v>2120</v>
      </c>
      <c r="G143" s="717" t="s">
        <v>2266</v>
      </c>
      <c r="H143" s="717" t="s">
        <v>2284</v>
      </c>
      <c r="I143" s="720">
        <v>7.630000114440918</v>
      </c>
      <c r="J143" s="720">
        <v>156</v>
      </c>
      <c r="K143" s="721">
        <v>1190.2799682617188</v>
      </c>
    </row>
    <row r="144" spans="1:11" ht="14.45" customHeight="1" x14ac:dyDescent="0.2">
      <c r="A144" s="715" t="s">
        <v>518</v>
      </c>
      <c r="B144" s="716" t="s">
        <v>519</v>
      </c>
      <c r="C144" s="717" t="s">
        <v>531</v>
      </c>
      <c r="D144" s="718" t="s">
        <v>532</v>
      </c>
      <c r="E144" s="717" t="s">
        <v>2119</v>
      </c>
      <c r="F144" s="718" t="s">
        <v>2120</v>
      </c>
      <c r="G144" s="717" t="s">
        <v>2268</v>
      </c>
      <c r="H144" s="717" t="s">
        <v>2285</v>
      </c>
      <c r="I144" s="720">
        <v>18.945999145507813</v>
      </c>
      <c r="J144" s="720">
        <v>420</v>
      </c>
      <c r="K144" s="721">
        <v>7959.0001831054688</v>
      </c>
    </row>
    <row r="145" spans="1:11" ht="14.45" customHeight="1" x14ac:dyDescent="0.2">
      <c r="A145" s="715" t="s">
        <v>518</v>
      </c>
      <c r="B145" s="716" t="s">
        <v>519</v>
      </c>
      <c r="C145" s="717" t="s">
        <v>531</v>
      </c>
      <c r="D145" s="718" t="s">
        <v>532</v>
      </c>
      <c r="E145" s="717" t="s">
        <v>2119</v>
      </c>
      <c r="F145" s="718" t="s">
        <v>2120</v>
      </c>
      <c r="G145" s="717" t="s">
        <v>2270</v>
      </c>
      <c r="H145" s="717" t="s">
        <v>2286</v>
      </c>
      <c r="I145" s="720">
        <v>25.556666056315105</v>
      </c>
      <c r="J145" s="720">
        <v>96</v>
      </c>
      <c r="K145" s="721">
        <v>2453.280029296875</v>
      </c>
    </row>
    <row r="146" spans="1:11" ht="14.45" customHeight="1" x14ac:dyDescent="0.2">
      <c r="A146" s="715" t="s">
        <v>518</v>
      </c>
      <c r="B146" s="716" t="s">
        <v>519</v>
      </c>
      <c r="C146" s="717" t="s">
        <v>531</v>
      </c>
      <c r="D146" s="718" t="s">
        <v>532</v>
      </c>
      <c r="E146" s="717" t="s">
        <v>2119</v>
      </c>
      <c r="F146" s="718" t="s">
        <v>2120</v>
      </c>
      <c r="G146" s="717" t="s">
        <v>2287</v>
      </c>
      <c r="H146" s="717" t="s">
        <v>2288</v>
      </c>
      <c r="I146" s="720">
        <v>7.5900001525878906</v>
      </c>
      <c r="J146" s="720">
        <v>60</v>
      </c>
      <c r="K146" s="721">
        <v>455.40000915527344</v>
      </c>
    </row>
    <row r="147" spans="1:11" ht="14.45" customHeight="1" x14ac:dyDescent="0.2">
      <c r="A147" s="715" t="s">
        <v>518</v>
      </c>
      <c r="B147" s="716" t="s">
        <v>519</v>
      </c>
      <c r="C147" s="717" t="s">
        <v>531</v>
      </c>
      <c r="D147" s="718" t="s">
        <v>532</v>
      </c>
      <c r="E147" s="717" t="s">
        <v>2119</v>
      </c>
      <c r="F147" s="718" t="s">
        <v>2120</v>
      </c>
      <c r="G147" s="717" t="s">
        <v>2289</v>
      </c>
      <c r="H147" s="717" t="s">
        <v>2290</v>
      </c>
      <c r="I147" s="720">
        <v>8.6266667048136387</v>
      </c>
      <c r="J147" s="720">
        <v>42</v>
      </c>
      <c r="K147" s="721">
        <v>362.34000396728516</v>
      </c>
    </row>
    <row r="148" spans="1:11" ht="14.45" customHeight="1" x14ac:dyDescent="0.2">
      <c r="A148" s="715" t="s">
        <v>518</v>
      </c>
      <c r="B148" s="716" t="s">
        <v>519</v>
      </c>
      <c r="C148" s="717" t="s">
        <v>531</v>
      </c>
      <c r="D148" s="718" t="s">
        <v>532</v>
      </c>
      <c r="E148" s="717" t="s">
        <v>2119</v>
      </c>
      <c r="F148" s="718" t="s">
        <v>2120</v>
      </c>
      <c r="G148" s="717" t="s">
        <v>2291</v>
      </c>
      <c r="H148" s="717" t="s">
        <v>2292</v>
      </c>
      <c r="I148" s="720">
        <v>10.520000457763672</v>
      </c>
      <c r="J148" s="720">
        <v>130</v>
      </c>
      <c r="K148" s="721">
        <v>1367.6000061035156</v>
      </c>
    </row>
    <row r="149" spans="1:11" ht="14.45" customHeight="1" x14ac:dyDescent="0.2">
      <c r="A149" s="715" t="s">
        <v>518</v>
      </c>
      <c r="B149" s="716" t="s">
        <v>519</v>
      </c>
      <c r="C149" s="717" t="s">
        <v>531</v>
      </c>
      <c r="D149" s="718" t="s">
        <v>532</v>
      </c>
      <c r="E149" s="717" t="s">
        <v>2119</v>
      </c>
      <c r="F149" s="718" t="s">
        <v>2120</v>
      </c>
      <c r="G149" s="717" t="s">
        <v>2293</v>
      </c>
      <c r="H149" s="717" t="s">
        <v>2294</v>
      </c>
      <c r="I149" s="720">
        <v>13.229999542236328</v>
      </c>
      <c r="J149" s="720">
        <v>110</v>
      </c>
      <c r="K149" s="721">
        <v>1455.3000183105469</v>
      </c>
    </row>
    <row r="150" spans="1:11" ht="14.45" customHeight="1" x14ac:dyDescent="0.2">
      <c r="A150" s="715" t="s">
        <v>518</v>
      </c>
      <c r="B150" s="716" t="s">
        <v>519</v>
      </c>
      <c r="C150" s="717" t="s">
        <v>531</v>
      </c>
      <c r="D150" s="718" t="s">
        <v>532</v>
      </c>
      <c r="E150" s="717" t="s">
        <v>2119</v>
      </c>
      <c r="F150" s="718" t="s">
        <v>2120</v>
      </c>
      <c r="G150" s="717" t="s">
        <v>2289</v>
      </c>
      <c r="H150" s="717" t="s">
        <v>2295</v>
      </c>
      <c r="I150" s="720">
        <v>8.630000114440918</v>
      </c>
      <c r="J150" s="720">
        <v>80</v>
      </c>
      <c r="K150" s="721">
        <v>690.4000244140625</v>
      </c>
    </row>
    <row r="151" spans="1:11" ht="14.45" customHeight="1" x14ac:dyDescent="0.2">
      <c r="A151" s="715" t="s">
        <v>518</v>
      </c>
      <c r="B151" s="716" t="s">
        <v>519</v>
      </c>
      <c r="C151" s="717" t="s">
        <v>531</v>
      </c>
      <c r="D151" s="718" t="s">
        <v>532</v>
      </c>
      <c r="E151" s="717" t="s">
        <v>2119</v>
      </c>
      <c r="F151" s="718" t="s">
        <v>2120</v>
      </c>
      <c r="G151" s="717" t="s">
        <v>2291</v>
      </c>
      <c r="H151" s="717" t="s">
        <v>2296</v>
      </c>
      <c r="I151" s="720">
        <v>10.520000457763672</v>
      </c>
      <c r="J151" s="720">
        <v>80</v>
      </c>
      <c r="K151" s="721">
        <v>841.5999755859375</v>
      </c>
    </row>
    <row r="152" spans="1:11" ht="14.45" customHeight="1" x14ac:dyDescent="0.2">
      <c r="A152" s="715" t="s">
        <v>518</v>
      </c>
      <c r="B152" s="716" t="s">
        <v>519</v>
      </c>
      <c r="C152" s="717" t="s">
        <v>531</v>
      </c>
      <c r="D152" s="718" t="s">
        <v>532</v>
      </c>
      <c r="E152" s="717" t="s">
        <v>2119</v>
      </c>
      <c r="F152" s="718" t="s">
        <v>2120</v>
      </c>
      <c r="G152" s="717" t="s">
        <v>2293</v>
      </c>
      <c r="H152" s="717" t="s">
        <v>2297</v>
      </c>
      <c r="I152" s="720">
        <v>13.220000267028809</v>
      </c>
      <c r="J152" s="720">
        <v>80</v>
      </c>
      <c r="K152" s="721">
        <v>1057.5999755859375</v>
      </c>
    </row>
    <row r="153" spans="1:11" ht="14.45" customHeight="1" x14ac:dyDescent="0.2">
      <c r="A153" s="715" t="s">
        <v>518</v>
      </c>
      <c r="B153" s="716" t="s">
        <v>519</v>
      </c>
      <c r="C153" s="717" t="s">
        <v>531</v>
      </c>
      <c r="D153" s="718" t="s">
        <v>532</v>
      </c>
      <c r="E153" s="717" t="s">
        <v>2119</v>
      </c>
      <c r="F153" s="718" t="s">
        <v>2120</v>
      </c>
      <c r="G153" s="717" t="s">
        <v>2298</v>
      </c>
      <c r="H153" s="717" t="s">
        <v>2299</v>
      </c>
      <c r="I153" s="720">
        <v>2.5059999942779543</v>
      </c>
      <c r="J153" s="720">
        <v>180</v>
      </c>
      <c r="K153" s="721">
        <v>451.20000457763672</v>
      </c>
    </row>
    <row r="154" spans="1:11" ht="14.45" customHeight="1" x14ac:dyDescent="0.2">
      <c r="A154" s="715" t="s">
        <v>518</v>
      </c>
      <c r="B154" s="716" t="s">
        <v>519</v>
      </c>
      <c r="C154" s="717" t="s">
        <v>531</v>
      </c>
      <c r="D154" s="718" t="s">
        <v>532</v>
      </c>
      <c r="E154" s="717" t="s">
        <v>2119</v>
      </c>
      <c r="F154" s="718" t="s">
        <v>2120</v>
      </c>
      <c r="G154" s="717" t="s">
        <v>2300</v>
      </c>
      <c r="H154" s="717" t="s">
        <v>2301</v>
      </c>
      <c r="I154" s="720">
        <v>3.2649999856948853</v>
      </c>
      <c r="J154" s="720">
        <v>240</v>
      </c>
      <c r="K154" s="721">
        <v>783.40000152587891</v>
      </c>
    </row>
    <row r="155" spans="1:11" ht="14.45" customHeight="1" x14ac:dyDescent="0.2">
      <c r="A155" s="715" t="s">
        <v>518</v>
      </c>
      <c r="B155" s="716" t="s">
        <v>519</v>
      </c>
      <c r="C155" s="717" t="s">
        <v>531</v>
      </c>
      <c r="D155" s="718" t="s">
        <v>532</v>
      </c>
      <c r="E155" s="717" t="s">
        <v>2119</v>
      </c>
      <c r="F155" s="718" t="s">
        <v>2120</v>
      </c>
      <c r="G155" s="717" t="s">
        <v>2302</v>
      </c>
      <c r="H155" s="717" t="s">
        <v>2303</v>
      </c>
      <c r="I155" s="720">
        <v>3.9700000286102295</v>
      </c>
      <c r="J155" s="720">
        <v>180</v>
      </c>
      <c r="K155" s="721">
        <v>714.60000610351563</v>
      </c>
    </row>
    <row r="156" spans="1:11" ht="14.45" customHeight="1" x14ac:dyDescent="0.2">
      <c r="A156" s="715" t="s">
        <v>518</v>
      </c>
      <c r="B156" s="716" t="s">
        <v>519</v>
      </c>
      <c r="C156" s="717" t="s">
        <v>531</v>
      </c>
      <c r="D156" s="718" t="s">
        <v>532</v>
      </c>
      <c r="E156" s="717" t="s">
        <v>2119</v>
      </c>
      <c r="F156" s="718" t="s">
        <v>2120</v>
      </c>
      <c r="G156" s="717" t="s">
        <v>2304</v>
      </c>
      <c r="H156" s="717" t="s">
        <v>2305</v>
      </c>
      <c r="I156" s="720">
        <v>138.46500396728516</v>
      </c>
      <c r="J156" s="720">
        <v>2</v>
      </c>
      <c r="K156" s="721">
        <v>276.93000793457031</v>
      </c>
    </row>
    <row r="157" spans="1:11" ht="14.45" customHeight="1" x14ac:dyDescent="0.2">
      <c r="A157" s="715" t="s">
        <v>518</v>
      </c>
      <c r="B157" s="716" t="s">
        <v>519</v>
      </c>
      <c r="C157" s="717" t="s">
        <v>531</v>
      </c>
      <c r="D157" s="718" t="s">
        <v>532</v>
      </c>
      <c r="E157" s="717" t="s">
        <v>2119</v>
      </c>
      <c r="F157" s="718" t="s">
        <v>2120</v>
      </c>
      <c r="G157" s="717" t="s">
        <v>2306</v>
      </c>
      <c r="H157" s="717" t="s">
        <v>2307</v>
      </c>
      <c r="I157" s="720">
        <v>72.220001220703125</v>
      </c>
      <c r="J157" s="720">
        <v>2</v>
      </c>
      <c r="K157" s="721">
        <v>144.44000244140625</v>
      </c>
    </row>
    <row r="158" spans="1:11" ht="14.45" customHeight="1" x14ac:dyDescent="0.2">
      <c r="A158" s="715" t="s">
        <v>518</v>
      </c>
      <c r="B158" s="716" t="s">
        <v>519</v>
      </c>
      <c r="C158" s="717" t="s">
        <v>531</v>
      </c>
      <c r="D158" s="718" t="s">
        <v>532</v>
      </c>
      <c r="E158" s="717" t="s">
        <v>2119</v>
      </c>
      <c r="F158" s="718" t="s">
        <v>2120</v>
      </c>
      <c r="G158" s="717" t="s">
        <v>2308</v>
      </c>
      <c r="H158" s="717" t="s">
        <v>2309</v>
      </c>
      <c r="I158" s="720">
        <v>105.44999694824219</v>
      </c>
      <c r="J158" s="720">
        <v>3</v>
      </c>
      <c r="K158" s="721">
        <v>316.34999084472656</v>
      </c>
    </row>
    <row r="159" spans="1:11" ht="14.45" customHeight="1" x14ac:dyDescent="0.2">
      <c r="A159" s="715" t="s">
        <v>518</v>
      </c>
      <c r="B159" s="716" t="s">
        <v>519</v>
      </c>
      <c r="C159" s="717" t="s">
        <v>531</v>
      </c>
      <c r="D159" s="718" t="s">
        <v>532</v>
      </c>
      <c r="E159" s="717" t="s">
        <v>2119</v>
      </c>
      <c r="F159" s="718" t="s">
        <v>2120</v>
      </c>
      <c r="G159" s="717" t="s">
        <v>2304</v>
      </c>
      <c r="H159" s="717" t="s">
        <v>2310</v>
      </c>
      <c r="I159" s="720">
        <v>138.46000671386719</v>
      </c>
      <c r="J159" s="720">
        <v>2</v>
      </c>
      <c r="K159" s="721">
        <v>276.92001342773438</v>
      </c>
    </row>
    <row r="160" spans="1:11" ht="14.45" customHeight="1" x14ac:dyDescent="0.2">
      <c r="A160" s="715" t="s">
        <v>518</v>
      </c>
      <c r="B160" s="716" t="s">
        <v>519</v>
      </c>
      <c r="C160" s="717" t="s">
        <v>531</v>
      </c>
      <c r="D160" s="718" t="s">
        <v>532</v>
      </c>
      <c r="E160" s="717" t="s">
        <v>2119</v>
      </c>
      <c r="F160" s="718" t="s">
        <v>2120</v>
      </c>
      <c r="G160" s="717" t="s">
        <v>2311</v>
      </c>
      <c r="H160" s="717" t="s">
        <v>2312</v>
      </c>
      <c r="I160" s="720">
        <v>314.80999755859375</v>
      </c>
      <c r="J160" s="720">
        <v>2</v>
      </c>
      <c r="K160" s="721">
        <v>629.6099853515625</v>
      </c>
    </row>
    <row r="161" spans="1:11" ht="14.45" customHeight="1" x14ac:dyDescent="0.2">
      <c r="A161" s="715" t="s">
        <v>518</v>
      </c>
      <c r="B161" s="716" t="s">
        <v>519</v>
      </c>
      <c r="C161" s="717" t="s">
        <v>531</v>
      </c>
      <c r="D161" s="718" t="s">
        <v>532</v>
      </c>
      <c r="E161" s="717" t="s">
        <v>2119</v>
      </c>
      <c r="F161" s="718" t="s">
        <v>2120</v>
      </c>
      <c r="G161" s="717" t="s">
        <v>2313</v>
      </c>
      <c r="H161" s="717" t="s">
        <v>2314</v>
      </c>
      <c r="I161" s="720">
        <v>314.80999755859375</v>
      </c>
      <c r="J161" s="720">
        <v>2</v>
      </c>
      <c r="K161" s="721">
        <v>629.6099853515625</v>
      </c>
    </row>
    <row r="162" spans="1:11" ht="14.45" customHeight="1" x14ac:dyDescent="0.2">
      <c r="A162" s="715" t="s">
        <v>518</v>
      </c>
      <c r="B162" s="716" t="s">
        <v>519</v>
      </c>
      <c r="C162" s="717" t="s">
        <v>531</v>
      </c>
      <c r="D162" s="718" t="s">
        <v>532</v>
      </c>
      <c r="E162" s="717" t="s">
        <v>2119</v>
      </c>
      <c r="F162" s="718" t="s">
        <v>2120</v>
      </c>
      <c r="G162" s="717" t="s">
        <v>2315</v>
      </c>
      <c r="H162" s="717" t="s">
        <v>2316</v>
      </c>
      <c r="I162" s="720">
        <v>314.80999755859375</v>
      </c>
      <c r="J162" s="720">
        <v>2</v>
      </c>
      <c r="K162" s="721">
        <v>629.6099853515625</v>
      </c>
    </row>
    <row r="163" spans="1:11" ht="14.45" customHeight="1" x14ac:dyDescent="0.2">
      <c r="A163" s="715" t="s">
        <v>518</v>
      </c>
      <c r="B163" s="716" t="s">
        <v>519</v>
      </c>
      <c r="C163" s="717" t="s">
        <v>531</v>
      </c>
      <c r="D163" s="718" t="s">
        <v>532</v>
      </c>
      <c r="E163" s="717" t="s">
        <v>2119</v>
      </c>
      <c r="F163" s="718" t="s">
        <v>2120</v>
      </c>
      <c r="G163" s="717" t="s">
        <v>2317</v>
      </c>
      <c r="H163" s="717" t="s">
        <v>2318</v>
      </c>
      <c r="I163" s="720">
        <v>47.150001525878906</v>
      </c>
      <c r="J163" s="720">
        <v>30</v>
      </c>
      <c r="K163" s="721">
        <v>1414.5</v>
      </c>
    </row>
    <row r="164" spans="1:11" ht="14.45" customHeight="1" x14ac:dyDescent="0.2">
      <c r="A164" s="715" t="s">
        <v>518</v>
      </c>
      <c r="B164" s="716" t="s">
        <v>519</v>
      </c>
      <c r="C164" s="717" t="s">
        <v>531</v>
      </c>
      <c r="D164" s="718" t="s">
        <v>532</v>
      </c>
      <c r="E164" s="717" t="s">
        <v>2119</v>
      </c>
      <c r="F164" s="718" t="s">
        <v>2120</v>
      </c>
      <c r="G164" s="717" t="s">
        <v>2317</v>
      </c>
      <c r="H164" s="717" t="s">
        <v>2319</v>
      </c>
      <c r="I164" s="720">
        <v>47.150001525878906</v>
      </c>
      <c r="J164" s="720">
        <v>60</v>
      </c>
      <c r="K164" s="721">
        <v>2829</v>
      </c>
    </row>
    <row r="165" spans="1:11" ht="14.45" customHeight="1" x14ac:dyDescent="0.2">
      <c r="A165" s="715" t="s">
        <v>518</v>
      </c>
      <c r="B165" s="716" t="s">
        <v>519</v>
      </c>
      <c r="C165" s="717" t="s">
        <v>531</v>
      </c>
      <c r="D165" s="718" t="s">
        <v>532</v>
      </c>
      <c r="E165" s="717" t="s">
        <v>2119</v>
      </c>
      <c r="F165" s="718" t="s">
        <v>2120</v>
      </c>
      <c r="G165" s="717" t="s">
        <v>2320</v>
      </c>
      <c r="H165" s="717" t="s">
        <v>2321</v>
      </c>
      <c r="I165" s="720">
        <v>2.7300000190734863</v>
      </c>
      <c r="J165" s="720">
        <v>6</v>
      </c>
      <c r="K165" s="721">
        <v>16.379999160766602</v>
      </c>
    </row>
    <row r="166" spans="1:11" ht="14.45" customHeight="1" x14ac:dyDescent="0.2">
      <c r="A166" s="715" t="s">
        <v>518</v>
      </c>
      <c r="B166" s="716" t="s">
        <v>519</v>
      </c>
      <c r="C166" s="717" t="s">
        <v>531</v>
      </c>
      <c r="D166" s="718" t="s">
        <v>532</v>
      </c>
      <c r="E166" s="717" t="s">
        <v>2119</v>
      </c>
      <c r="F166" s="718" t="s">
        <v>2120</v>
      </c>
      <c r="G166" s="717" t="s">
        <v>2322</v>
      </c>
      <c r="H166" s="717" t="s">
        <v>2323</v>
      </c>
      <c r="I166" s="720">
        <v>32.790000915527344</v>
      </c>
      <c r="J166" s="720">
        <v>49</v>
      </c>
      <c r="K166" s="721">
        <v>1606.7099609375</v>
      </c>
    </row>
    <row r="167" spans="1:11" ht="14.45" customHeight="1" x14ac:dyDescent="0.2">
      <c r="A167" s="715" t="s">
        <v>518</v>
      </c>
      <c r="B167" s="716" t="s">
        <v>519</v>
      </c>
      <c r="C167" s="717" t="s">
        <v>531</v>
      </c>
      <c r="D167" s="718" t="s">
        <v>532</v>
      </c>
      <c r="E167" s="717" t="s">
        <v>2119</v>
      </c>
      <c r="F167" s="718" t="s">
        <v>2120</v>
      </c>
      <c r="G167" s="717" t="s">
        <v>2324</v>
      </c>
      <c r="H167" s="717" t="s">
        <v>2325</v>
      </c>
      <c r="I167" s="720">
        <v>12.020000457763672</v>
      </c>
      <c r="J167" s="720">
        <v>20</v>
      </c>
      <c r="K167" s="721">
        <v>240.39999389648438</v>
      </c>
    </row>
    <row r="168" spans="1:11" ht="14.45" customHeight="1" x14ac:dyDescent="0.2">
      <c r="A168" s="715" t="s">
        <v>518</v>
      </c>
      <c r="B168" s="716" t="s">
        <v>519</v>
      </c>
      <c r="C168" s="717" t="s">
        <v>531</v>
      </c>
      <c r="D168" s="718" t="s">
        <v>532</v>
      </c>
      <c r="E168" s="717" t="s">
        <v>2119</v>
      </c>
      <c r="F168" s="718" t="s">
        <v>2120</v>
      </c>
      <c r="G168" s="717" t="s">
        <v>2326</v>
      </c>
      <c r="H168" s="717" t="s">
        <v>2327</v>
      </c>
      <c r="I168" s="720">
        <v>79.860000610351563</v>
      </c>
      <c r="J168" s="720">
        <v>15</v>
      </c>
      <c r="K168" s="721">
        <v>1197.9000244140625</v>
      </c>
    </row>
    <row r="169" spans="1:11" ht="14.45" customHeight="1" x14ac:dyDescent="0.2">
      <c r="A169" s="715" t="s">
        <v>518</v>
      </c>
      <c r="B169" s="716" t="s">
        <v>519</v>
      </c>
      <c r="C169" s="717" t="s">
        <v>531</v>
      </c>
      <c r="D169" s="718" t="s">
        <v>532</v>
      </c>
      <c r="E169" s="717" t="s">
        <v>2119</v>
      </c>
      <c r="F169" s="718" t="s">
        <v>2120</v>
      </c>
      <c r="G169" s="717" t="s">
        <v>2328</v>
      </c>
      <c r="H169" s="717" t="s">
        <v>2329</v>
      </c>
      <c r="I169" s="720">
        <v>29.254286629813059</v>
      </c>
      <c r="J169" s="720">
        <v>375</v>
      </c>
      <c r="K169" s="721">
        <v>12799.59970702976</v>
      </c>
    </row>
    <row r="170" spans="1:11" ht="14.45" customHeight="1" x14ac:dyDescent="0.2">
      <c r="A170" s="715" t="s">
        <v>518</v>
      </c>
      <c r="B170" s="716" t="s">
        <v>519</v>
      </c>
      <c r="C170" s="717" t="s">
        <v>531</v>
      </c>
      <c r="D170" s="718" t="s">
        <v>532</v>
      </c>
      <c r="E170" s="717" t="s">
        <v>2119</v>
      </c>
      <c r="F170" s="718" t="s">
        <v>2120</v>
      </c>
      <c r="G170" s="717" t="s">
        <v>2328</v>
      </c>
      <c r="H170" s="717" t="s">
        <v>2330</v>
      </c>
      <c r="I170" s="720">
        <v>34.130001068115234</v>
      </c>
      <c r="J170" s="720">
        <v>300</v>
      </c>
      <c r="K170" s="721">
        <v>10239.449768066406</v>
      </c>
    </row>
    <row r="171" spans="1:11" ht="14.45" customHeight="1" x14ac:dyDescent="0.2">
      <c r="A171" s="715" t="s">
        <v>518</v>
      </c>
      <c r="B171" s="716" t="s">
        <v>519</v>
      </c>
      <c r="C171" s="717" t="s">
        <v>531</v>
      </c>
      <c r="D171" s="718" t="s">
        <v>532</v>
      </c>
      <c r="E171" s="717" t="s">
        <v>2119</v>
      </c>
      <c r="F171" s="718" t="s">
        <v>2120</v>
      </c>
      <c r="G171" s="717" t="s">
        <v>2331</v>
      </c>
      <c r="H171" s="717" t="s">
        <v>2332</v>
      </c>
      <c r="I171" s="720">
        <v>0.36444445451100665</v>
      </c>
      <c r="J171" s="720">
        <v>25250</v>
      </c>
      <c r="K171" s="721">
        <v>9203.7200317382813</v>
      </c>
    </row>
    <row r="172" spans="1:11" ht="14.45" customHeight="1" x14ac:dyDescent="0.2">
      <c r="A172" s="715" t="s">
        <v>518</v>
      </c>
      <c r="B172" s="716" t="s">
        <v>519</v>
      </c>
      <c r="C172" s="717" t="s">
        <v>531</v>
      </c>
      <c r="D172" s="718" t="s">
        <v>532</v>
      </c>
      <c r="E172" s="717" t="s">
        <v>2119</v>
      </c>
      <c r="F172" s="718" t="s">
        <v>2120</v>
      </c>
      <c r="G172" s="717" t="s">
        <v>2333</v>
      </c>
      <c r="H172" s="717" t="s">
        <v>2334</v>
      </c>
      <c r="I172" s="720">
        <v>2.3860001087188722</v>
      </c>
      <c r="J172" s="720">
        <v>200</v>
      </c>
      <c r="K172" s="721">
        <v>477.19998931884766</v>
      </c>
    </row>
    <row r="173" spans="1:11" ht="14.45" customHeight="1" x14ac:dyDescent="0.2">
      <c r="A173" s="715" t="s">
        <v>518</v>
      </c>
      <c r="B173" s="716" t="s">
        <v>519</v>
      </c>
      <c r="C173" s="717" t="s">
        <v>531</v>
      </c>
      <c r="D173" s="718" t="s">
        <v>532</v>
      </c>
      <c r="E173" s="717" t="s">
        <v>2119</v>
      </c>
      <c r="F173" s="718" t="s">
        <v>2120</v>
      </c>
      <c r="G173" s="717" t="s">
        <v>2331</v>
      </c>
      <c r="H173" s="717" t="s">
        <v>2335</v>
      </c>
      <c r="I173" s="720">
        <v>0.36500000655651094</v>
      </c>
      <c r="J173" s="720">
        <v>10750</v>
      </c>
      <c r="K173" s="721">
        <v>3939.9599914550781</v>
      </c>
    </row>
    <row r="174" spans="1:11" ht="14.45" customHeight="1" x14ac:dyDescent="0.2">
      <c r="A174" s="715" t="s">
        <v>518</v>
      </c>
      <c r="B174" s="716" t="s">
        <v>519</v>
      </c>
      <c r="C174" s="717" t="s">
        <v>531</v>
      </c>
      <c r="D174" s="718" t="s">
        <v>532</v>
      </c>
      <c r="E174" s="717" t="s">
        <v>2119</v>
      </c>
      <c r="F174" s="718" t="s">
        <v>2120</v>
      </c>
      <c r="G174" s="717" t="s">
        <v>2333</v>
      </c>
      <c r="H174" s="717" t="s">
        <v>2336</v>
      </c>
      <c r="I174" s="720">
        <v>2.3316667477289834</v>
      </c>
      <c r="J174" s="720">
        <v>320</v>
      </c>
      <c r="K174" s="721">
        <v>749.99998474121094</v>
      </c>
    </row>
    <row r="175" spans="1:11" ht="14.45" customHeight="1" x14ac:dyDescent="0.2">
      <c r="A175" s="715" t="s">
        <v>518</v>
      </c>
      <c r="B175" s="716" t="s">
        <v>519</v>
      </c>
      <c r="C175" s="717" t="s">
        <v>531</v>
      </c>
      <c r="D175" s="718" t="s">
        <v>532</v>
      </c>
      <c r="E175" s="717" t="s">
        <v>2119</v>
      </c>
      <c r="F175" s="718" t="s">
        <v>2120</v>
      </c>
      <c r="G175" s="717" t="s">
        <v>2337</v>
      </c>
      <c r="H175" s="717" t="s">
        <v>2338</v>
      </c>
      <c r="I175" s="720">
        <v>0.66714287655694149</v>
      </c>
      <c r="J175" s="720">
        <v>4200</v>
      </c>
      <c r="K175" s="721">
        <v>2804</v>
      </c>
    </row>
    <row r="176" spans="1:11" ht="14.45" customHeight="1" x14ac:dyDescent="0.2">
      <c r="A176" s="715" t="s">
        <v>518</v>
      </c>
      <c r="B176" s="716" t="s">
        <v>519</v>
      </c>
      <c r="C176" s="717" t="s">
        <v>531</v>
      </c>
      <c r="D176" s="718" t="s">
        <v>532</v>
      </c>
      <c r="E176" s="717" t="s">
        <v>2119</v>
      </c>
      <c r="F176" s="718" t="s">
        <v>2120</v>
      </c>
      <c r="G176" s="717" t="s">
        <v>2337</v>
      </c>
      <c r="H176" s="717" t="s">
        <v>2339</v>
      </c>
      <c r="I176" s="720">
        <v>0.66500002145767212</v>
      </c>
      <c r="J176" s="720">
        <v>4500</v>
      </c>
      <c r="K176" s="721">
        <v>2995</v>
      </c>
    </row>
    <row r="177" spans="1:11" ht="14.45" customHeight="1" x14ac:dyDescent="0.2">
      <c r="A177" s="715" t="s">
        <v>518</v>
      </c>
      <c r="B177" s="716" t="s">
        <v>519</v>
      </c>
      <c r="C177" s="717" t="s">
        <v>531</v>
      </c>
      <c r="D177" s="718" t="s">
        <v>532</v>
      </c>
      <c r="E177" s="717" t="s">
        <v>2119</v>
      </c>
      <c r="F177" s="718" t="s">
        <v>2120</v>
      </c>
      <c r="G177" s="717" t="s">
        <v>2340</v>
      </c>
      <c r="H177" s="717" t="s">
        <v>2341</v>
      </c>
      <c r="I177" s="720">
        <v>3.9414286272866383</v>
      </c>
      <c r="J177" s="720">
        <v>2500</v>
      </c>
      <c r="K177" s="721">
        <v>9861.5000610351563</v>
      </c>
    </row>
    <row r="178" spans="1:11" ht="14.45" customHeight="1" x14ac:dyDescent="0.2">
      <c r="A178" s="715" t="s">
        <v>518</v>
      </c>
      <c r="B178" s="716" t="s">
        <v>519</v>
      </c>
      <c r="C178" s="717" t="s">
        <v>531</v>
      </c>
      <c r="D178" s="718" t="s">
        <v>532</v>
      </c>
      <c r="E178" s="717" t="s">
        <v>2119</v>
      </c>
      <c r="F178" s="718" t="s">
        <v>2120</v>
      </c>
      <c r="G178" s="717" t="s">
        <v>2340</v>
      </c>
      <c r="H178" s="717" t="s">
        <v>2342</v>
      </c>
      <c r="I178" s="720">
        <v>3.9450000524520874</v>
      </c>
      <c r="J178" s="720">
        <v>2000</v>
      </c>
      <c r="K178" s="721">
        <v>7896.1001586914063</v>
      </c>
    </row>
    <row r="179" spans="1:11" ht="14.45" customHeight="1" x14ac:dyDescent="0.2">
      <c r="A179" s="715" t="s">
        <v>518</v>
      </c>
      <c r="B179" s="716" t="s">
        <v>519</v>
      </c>
      <c r="C179" s="717" t="s">
        <v>531</v>
      </c>
      <c r="D179" s="718" t="s">
        <v>532</v>
      </c>
      <c r="E179" s="717" t="s">
        <v>2119</v>
      </c>
      <c r="F179" s="718" t="s">
        <v>2120</v>
      </c>
      <c r="G179" s="717" t="s">
        <v>2343</v>
      </c>
      <c r="H179" s="717" t="s">
        <v>2344</v>
      </c>
      <c r="I179" s="720">
        <v>6.4285714285714288</v>
      </c>
      <c r="J179" s="720">
        <v>2016</v>
      </c>
      <c r="K179" s="721">
        <v>15114.250234374776</v>
      </c>
    </row>
    <row r="180" spans="1:11" ht="14.45" customHeight="1" x14ac:dyDescent="0.2">
      <c r="A180" s="715" t="s">
        <v>518</v>
      </c>
      <c r="B180" s="716" t="s">
        <v>519</v>
      </c>
      <c r="C180" s="717" t="s">
        <v>531</v>
      </c>
      <c r="D180" s="718" t="s">
        <v>532</v>
      </c>
      <c r="E180" s="717" t="s">
        <v>2119</v>
      </c>
      <c r="F180" s="718" t="s">
        <v>2120</v>
      </c>
      <c r="G180" s="717" t="s">
        <v>2343</v>
      </c>
      <c r="H180" s="717" t="s">
        <v>2345</v>
      </c>
      <c r="I180" s="720">
        <v>7.5</v>
      </c>
      <c r="J180" s="720">
        <v>1536</v>
      </c>
      <c r="K180" s="721">
        <v>11515.16015625</v>
      </c>
    </row>
    <row r="181" spans="1:11" ht="14.45" customHeight="1" x14ac:dyDescent="0.2">
      <c r="A181" s="715" t="s">
        <v>518</v>
      </c>
      <c r="B181" s="716" t="s">
        <v>519</v>
      </c>
      <c r="C181" s="717" t="s">
        <v>531</v>
      </c>
      <c r="D181" s="718" t="s">
        <v>532</v>
      </c>
      <c r="E181" s="717" t="s">
        <v>2119</v>
      </c>
      <c r="F181" s="718" t="s">
        <v>2120</v>
      </c>
      <c r="G181" s="717" t="s">
        <v>2346</v>
      </c>
      <c r="H181" s="717" t="s">
        <v>2347</v>
      </c>
      <c r="I181" s="720">
        <v>30.505000114440918</v>
      </c>
      <c r="J181" s="720">
        <v>26</v>
      </c>
      <c r="K181" s="721">
        <v>793.1199951171875</v>
      </c>
    </row>
    <row r="182" spans="1:11" ht="14.45" customHeight="1" x14ac:dyDescent="0.2">
      <c r="A182" s="715" t="s">
        <v>518</v>
      </c>
      <c r="B182" s="716" t="s">
        <v>519</v>
      </c>
      <c r="C182" s="717" t="s">
        <v>531</v>
      </c>
      <c r="D182" s="718" t="s">
        <v>532</v>
      </c>
      <c r="E182" s="717" t="s">
        <v>2119</v>
      </c>
      <c r="F182" s="718" t="s">
        <v>2120</v>
      </c>
      <c r="G182" s="717" t="s">
        <v>2348</v>
      </c>
      <c r="H182" s="717" t="s">
        <v>2349</v>
      </c>
      <c r="I182" s="720">
        <v>29.879999160766602</v>
      </c>
      <c r="J182" s="720">
        <v>360</v>
      </c>
      <c r="K182" s="721">
        <v>10756.800537109375</v>
      </c>
    </row>
    <row r="183" spans="1:11" ht="14.45" customHeight="1" x14ac:dyDescent="0.2">
      <c r="A183" s="715" t="s">
        <v>518</v>
      </c>
      <c r="B183" s="716" t="s">
        <v>519</v>
      </c>
      <c r="C183" s="717" t="s">
        <v>531</v>
      </c>
      <c r="D183" s="718" t="s">
        <v>532</v>
      </c>
      <c r="E183" s="717" t="s">
        <v>2119</v>
      </c>
      <c r="F183" s="718" t="s">
        <v>2120</v>
      </c>
      <c r="G183" s="717" t="s">
        <v>2346</v>
      </c>
      <c r="H183" s="717" t="s">
        <v>2350</v>
      </c>
      <c r="I183" s="720">
        <v>30.03125</v>
      </c>
      <c r="J183" s="720">
        <v>25</v>
      </c>
      <c r="K183" s="721">
        <v>751.24999237060547</v>
      </c>
    </row>
    <row r="184" spans="1:11" ht="14.45" customHeight="1" x14ac:dyDescent="0.2">
      <c r="A184" s="715" t="s">
        <v>518</v>
      </c>
      <c r="B184" s="716" t="s">
        <v>519</v>
      </c>
      <c r="C184" s="717" t="s">
        <v>531</v>
      </c>
      <c r="D184" s="718" t="s">
        <v>532</v>
      </c>
      <c r="E184" s="717" t="s">
        <v>2119</v>
      </c>
      <c r="F184" s="718" t="s">
        <v>2120</v>
      </c>
      <c r="G184" s="717" t="s">
        <v>2348</v>
      </c>
      <c r="H184" s="717" t="s">
        <v>2351</v>
      </c>
      <c r="I184" s="720">
        <v>29.46999963124593</v>
      </c>
      <c r="J184" s="720">
        <v>432</v>
      </c>
      <c r="K184" s="721">
        <v>12731.040283203125</v>
      </c>
    </row>
    <row r="185" spans="1:11" ht="14.45" customHeight="1" x14ac:dyDescent="0.2">
      <c r="A185" s="715" t="s">
        <v>518</v>
      </c>
      <c r="B185" s="716" t="s">
        <v>519</v>
      </c>
      <c r="C185" s="717" t="s">
        <v>531</v>
      </c>
      <c r="D185" s="718" t="s">
        <v>532</v>
      </c>
      <c r="E185" s="717" t="s">
        <v>2119</v>
      </c>
      <c r="F185" s="718" t="s">
        <v>2120</v>
      </c>
      <c r="G185" s="717" t="s">
        <v>2352</v>
      </c>
      <c r="H185" s="717" t="s">
        <v>2353</v>
      </c>
      <c r="I185" s="720">
        <v>0.99000000953674316</v>
      </c>
      <c r="J185" s="720">
        <v>180</v>
      </c>
      <c r="K185" s="721">
        <v>178.19999694824219</v>
      </c>
    </row>
    <row r="186" spans="1:11" ht="14.45" customHeight="1" x14ac:dyDescent="0.2">
      <c r="A186" s="715" t="s">
        <v>518</v>
      </c>
      <c r="B186" s="716" t="s">
        <v>519</v>
      </c>
      <c r="C186" s="717" t="s">
        <v>531</v>
      </c>
      <c r="D186" s="718" t="s">
        <v>532</v>
      </c>
      <c r="E186" s="717" t="s">
        <v>2119</v>
      </c>
      <c r="F186" s="718" t="s">
        <v>2120</v>
      </c>
      <c r="G186" s="717" t="s">
        <v>2352</v>
      </c>
      <c r="H186" s="717" t="s">
        <v>2354</v>
      </c>
      <c r="I186" s="720">
        <v>0.99714285986764095</v>
      </c>
      <c r="J186" s="720">
        <v>500</v>
      </c>
      <c r="K186" s="721">
        <v>498.79999542236328</v>
      </c>
    </row>
    <row r="187" spans="1:11" ht="14.45" customHeight="1" x14ac:dyDescent="0.2">
      <c r="A187" s="715" t="s">
        <v>518</v>
      </c>
      <c r="B187" s="716" t="s">
        <v>519</v>
      </c>
      <c r="C187" s="717" t="s">
        <v>531</v>
      </c>
      <c r="D187" s="718" t="s">
        <v>532</v>
      </c>
      <c r="E187" s="717" t="s">
        <v>2355</v>
      </c>
      <c r="F187" s="718" t="s">
        <v>2356</v>
      </c>
      <c r="G187" s="717" t="s">
        <v>2357</v>
      </c>
      <c r="H187" s="717" t="s">
        <v>2358</v>
      </c>
      <c r="I187" s="720">
        <v>33.819999694824219</v>
      </c>
      <c r="J187" s="720">
        <v>50</v>
      </c>
      <c r="K187" s="721">
        <v>1690.9800415039063</v>
      </c>
    </row>
    <row r="188" spans="1:11" ht="14.45" customHeight="1" x14ac:dyDescent="0.2">
      <c r="A188" s="715" t="s">
        <v>518</v>
      </c>
      <c r="B188" s="716" t="s">
        <v>519</v>
      </c>
      <c r="C188" s="717" t="s">
        <v>531</v>
      </c>
      <c r="D188" s="718" t="s">
        <v>532</v>
      </c>
      <c r="E188" s="717" t="s">
        <v>2355</v>
      </c>
      <c r="F188" s="718" t="s">
        <v>2356</v>
      </c>
      <c r="G188" s="717" t="s">
        <v>2359</v>
      </c>
      <c r="H188" s="717" t="s">
        <v>2360</v>
      </c>
      <c r="I188" s="720">
        <v>2.3349999189376831</v>
      </c>
      <c r="J188" s="720">
        <v>368</v>
      </c>
      <c r="K188" s="721">
        <v>859.44000244140625</v>
      </c>
    </row>
    <row r="189" spans="1:11" ht="14.45" customHeight="1" x14ac:dyDescent="0.2">
      <c r="A189" s="715" t="s">
        <v>518</v>
      </c>
      <c r="B189" s="716" t="s">
        <v>519</v>
      </c>
      <c r="C189" s="717" t="s">
        <v>531</v>
      </c>
      <c r="D189" s="718" t="s">
        <v>532</v>
      </c>
      <c r="E189" s="717" t="s">
        <v>2355</v>
      </c>
      <c r="F189" s="718" t="s">
        <v>2356</v>
      </c>
      <c r="G189" s="717" t="s">
        <v>2361</v>
      </c>
      <c r="H189" s="717" t="s">
        <v>2362</v>
      </c>
      <c r="I189" s="720">
        <v>121</v>
      </c>
      <c r="J189" s="720">
        <v>30</v>
      </c>
      <c r="K189" s="721">
        <v>3630</v>
      </c>
    </row>
    <row r="190" spans="1:11" ht="14.45" customHeight="1" x14ac:dyDescent="0.2">
      <c r="A190" s="715" t="s">
        <v>518</v>
      </c>
      <c r="B190" s="716" t="s">
        <v>519</v>
      </c>
      <c r="C190" s="717" t="s">
        <v>531</v>
      </c>
      <c r="D190" s="718" t="s">
        <v>532</v>
      </c>
      <c r="E190" s="717" t="s">
        <v>2355</v>
      </c>
      <c r="F190" s="718" t="s">
        <v>2356</v>
      </c>
      <c r="G190" s="717" t="s">
        <v>2357</v>
      </c>
      <c r="H190" s="717" t="s">
        <v>2363</v>
      </c>
      <c r="I190" s="720">
        <v>33.819999694824219</v>
      </c>
      <c r="J190" s="720">
        <v>30</v>
      </c>
      <c r="K190" s="721">
        <v>1014.5900268554688</v>
      </c>
    </row>
    <row r="191" spans="1:11" ht="14.45" customHeight="1" x14ac:dyDescent="0.2">
      <c r="A191" s="715" t="s">
        <v>518</v>
      </c>
      <c r="B191" s="716" t="s">
        <v>519</v>
      </c>
      <c r="C191" s="717" t="s">
        <v>531</v>
      </c>
      <c r="D191" s="718" t="s">
        <v>532</v>
      </c>
      <c r="E191" s="717" t="s">
        <v>2355</v>
      </c>
      <c r="F191" s="718" t="s">
        <v>2356</v>
      </c>
      <c r="G191" s="717" t="s">
        <v>2357</v>
      </c>
      <c r="H191" s="717" t="s">
        <v>2364</v>
      </c>
      <c r="I191" s="720">
        <v>33.819999694824219</v>
      </c>
      <c r="J191" s="720">
        <v>90</v>
      </c>
      <c r="K191" s="721">
        <v>3043.760009765625</v>
      </c>
    </row>
    <row r="192" spans="1:11" ht="14.45" customHeight="1" x14ac:dyDescent="0.2">
      <c r="A192" s="715" t="s">
        <v>518</v>
      </c>
      <c r="B192" s="716" t="s">
        <v>519</v>
      </c>
      <c r="C192" s="717" t="s">
        <v>531</v>
      </c>
      <c r="D192" s="718" t="s">
        <v>532</v>
      </c>
      <c r="E192" s="717" t="s">
        <v>2355</v>
      </c>
      <c r="F192" s="718" t="s">
        <v>2356</v>
      </c>
      <c r="G192" s="717" t="s">
        <v>2359</v>
      </c>
      <c r="H192" s="717" t="s">
        <v>2365</v>
      </c>
      <c r="I192" s="720">
        <v>2.3399999141693115</v>
      </c>
      <c r="J192" s="720">
        <v>100</v>
      </c>
      <c r="K192" s="721">
        <v>234</v>
      </c>
    </row>
    <row r="193" spans="1:11" ht="14.45" customHeight="1" x14ac:dyDescent="0.2">
      <c r="A193" s="715" t="s">
        <v>518</v>
      </c>
      <c r="B193" s="716" t="s">
        <v>519</v>
      </c>
      <c r="C193" s="717" t="s">
        <v>531</v>
      </c>
      <c r="D193" s="718" t="s">
        <v>532</v>
      </c>
      <c r="E193" s="717" t="s">
        <v>2355</v>
      </c>
      <c r="F193" s="718" t="s">
        <v>2356</v>
      </c>
      <c r="G193" s="717" t="s">
        <v>2361</v>
      </c>
      <c r="H193" s="717" t="s">
        <v>2366</v>
      </c>
      <c r="I193" s="720">
        <v>121</v>
      </c>
      <c r="J193" s="720">
        <v>60</v>
      </c>
      <c r="K193" s="721">
        <v>7260</v>
      </c>
    </row>
    <row r="194" spans="1:11" ht="14.45" customHeight="1" x14ac:dyDescent="0.2">
      <c r="A194" s="715" t="s">
        <v>518</v>
      </c>
      <c r="B194" s="716" t="s">
        <v>519</v>
      </c>
      <c r="C194" s="717" t="s">
        <v>531</v>
      </c>
      <c r="D194" s="718" t="s">
        <v>532</v>
      </c>
      <c r="E194" s="717" t="s">
        <v>2355</v>
      </c>
      <c r="F194" s="718" t="s">
        <v>2356</v>
      </c>
      <c r="G194" s="717" t="s">
        <v>2367</v>
      </c>
      <c r="H194" s="717" t="s">
        <v>2368</v>
      </c>
      <c r="I194" s="720">
        <v>47.189998626708984</v>
      </c>
      <c r="J194" s="720">
        <v>120</v>
      </c>
      <c r="K194" s="721">
        <v>5662.7999267578125</v>
      </c>
    </row>
    <row r="195" spans="1:11" ht="14.45" customHeight="1" x14ac:dyDescent="0.2">
      <c r="A195" s="715" t="s">
        <v>518</v>
      </c>
      <c r="B195" s="716" t="s">
        <v>519</v>
      </c>
      <c r="C195" s="717" t="s">
        <v>531</v>
      </c>
      <c r="D195" s="718" t="s">
        <v>532</v>
      </c>
      <c r="E195" s="717" t="s">
        <v>2355</v>
      </c>
      <c r="F195" s="718" t="s">
        <v>2356</v>
      </c>
      <c r="G195" s="717" t="s">
        <v>2367</v>
      </c>
      <c r="H195" s="717" t="s">
        <v>2369</v>
      </c>
      <c r="I195" s="720">
        <v>47.189998626708984</v>
      </c>
      <c r="J195" s="720">
        <v>220</v>
      </c>
      <c r="K195" s="721">
        <v>10381.799865722656</v>
      </c>
    </row>
    <row r="196" spans="1:11" ht="14.45" customHeight="1" x14ac:dyDescent="0.2">
      <c r="A196" s="715" t="s">
        <v>518</v>
      </c>
      <c r="B196" s="716" t="s">
        <v>519</v>
      </c>
      <c r="C196" s="717" t="s">
        <v>531</v>
      </c>
      <c r="D196" s="718" t="s">
        <v>532</v>
      </c>
      <c r="E196" s="717" t="s">
        <v>2355</v>
      </c>
      <c r="F196" s="718" t="s">
        <v>2356</v>
      </c>
      <c r="G196" s="717" t="s">
        <v>2370</v>
      </c>
      <c r="H196" s="717" t="s">
        <v>2371</v>
      </c>
      <c r="I196" s="720">
        <v>6.2933333714803057</v>
      </c>
      <c r="J196" s="720">
        <v>650</v>
      </c>
      <c r="K196" s="721">
        <v>4090.5</v>
      </c>
    </row>
    <row r="197" spans="1:11" ht="14.45" customHeight="1" x14ac:dyDescent="0.2">
      <c r="A197" s="715" t="s">
        <v>518</v>
      </c>
      <c r="B197" s="716" t="s">
        <v>519</v>
      </c>
      <c r="C197" s="717" t="s">
        <v>531</v>
      </c>
      <c r="D197" s="718" t="s">
        <v>532</v>
      </c>
      <c r="E197" s="717" t="s">
        <v>2355</v>
      </c>
      <c r="F197" s="718" t="s">
        <v>2356</v>
      </c>
      <c r="G197" s="717" t="s">
        <v>2370</v>
      </c>
      <c r="H197" s="717" t="s">
        <v>2372</v>
      </c>
      <c r="I197" s="720">
        <v>6.2928571701049805</v>
      </c>
      <c r="J197" s="720">
        <v>340</v>
      </c>
      <c r="K197" s="721">
        <v>2139.4000244140625</v>
      </c>
    </row>
    <row r="198" spans="1:11" ht="14.45" customHeight="1" x14ac:dyDescent="0.2">
      <c r="A198" s="715" t="s">
        <v>518</v>
      </c>
      <c r="B198" s="716" t="s">
        <v>519</v>
      </c>
      <c r="C198" s="717" t="s">
        <v>531</v>
      </c>
      <c r="D198" s="718" t="s">
        <v>532</v>
      </c>
      <c r="E198" s="717" t="s">
        <v>2355</v>
      </c>
      <c r="F198" s="718" t="s">
        <v>2356</v>
      </c>
      <c r="G198" s="717" t="s">
        <v>2373</v>
      </c>
      <c r="H198" s="717" t="s">
        <v>2374</v>
      </c>
      <c r="I198" s="720">
        <v>2.3566665649414063</v>
      </c>
      <c r="J198" s="720">
        <v>400</v>
      </c>
      <c r="K198" s="721">
        <v>943</v>
      </c>
    </row>
    <row r="199" spans="1:11" ht="14.45" customHeight="1" x14ac:dyDescent="0.2">
      <c r="A199" s="715" t="s">
        <v>518</v>
      </c>
      <c r="B199" s="716" t="s">
        <v>519</v>
      </c>
      <c r="C199" s="717" t="s">
        <v>531</v>
      </c>
      <c r="D199" s="718" t="s">
        <v>532</v>
      </c>
      <c r="E199" s="717" t="s">
        <v>2355</v>
      </c>
      <c r="F199" s="718" t="s">
        <v>2356</v>
      </c>
      <c r="G199" s="717" t="s">
        <v>2375</v>
      </c>
      <c r="H199" s="717" t="s">
        <v>2376</v>
      </c>
      <c r="I199" s="720">
        <v>2.3599998950958252</v>
      </c>
      <c r="J199" s="720">
        <v>950</v>
      </c>
      <c r="K199" s="721">
        <v>2242</v>
      </c>
    </row>
    <row r="200" spans="1:11" ht="14.45" customHeight="1" x14ac:dyDescent="0.2">
      <c r="A200" s="715" t="s">
        <v>518</v>
      </c>
      <c r="B200" s="716" t="s">
        <v>519</v>
      </c>
      <c r="C200" s="717" t="s">
        <v>531</v>
      </c>
      <c r="D200" s="718" t="s">
        <v>532</v>
      </c>
      <c r="E200" s="717" t="s">
        <v>2355</v>
      </c>
      <c r="F200" s="718" t="s">
        <v>2356</v>
      </c>
      <c r="G200" s="717" t="s">
        <v>2377</v>
      </c>
      <c r="H200" s="717" t="s">
        <v>2378</v>
      </c>
      <c r="I200" s="720">
        <v>2.3599998950958252</v>
      </c>
      <c r="J200" s="720">
        <v>2100</v>
      </c>
      <c r="K200" s="721">
        <v>4956</v>
      </c>
    </row>
    <row r="201" spans="1:11" ht="14.45" customHeight="1" x14ac:dyDescent="0.2">
      <c r="A201" s="715" t="s">
        <v>518</v>
      </c>
      <c r="B201" s="716" t="s">
        <v>519</v>
      </c>
      <c r="C201" s="717" t="s">
        <v>531</v>
      </c>
      <c r="D201" s="718" t="s">
        <v>532</v>
      </c>
      <c r="E201" s="717" t="s">
        <v>2355</v>
      </c>
      <c r="F201" s="718" t="s">
        <v>2356</v>
      </c>
      <c r="G201" s="717" t="s">
        <v>2379</v>
      </c>
      <c r="H201" s="717" t="s">
        <v>2380</v>
      </c>
      <c r="I201" s="720">
        <v>2.3599998950958252</v>
      </c>
      <c r="J201" s="720">
        <v>641</v>
      </c>
      <c r="K201" s="721">
        <v>1512.760009765625</v>
      </c>
    </row>
    <row r="202" spans="1:11" ht="14.45" customHeight="1" x14ac:dyDescent="0.2">
      <c r="A202" s="715" t="s">
        <v>518</v>
      </c>
      <c r="B202" s="716" t="s">
        <v>519</v>
      </c>
      <c r="C202" s="717" t="s">
        <v>531</v>
      </c>
      <c r="D202" s="718" t="s">
        <v>532</v>
      </c>
      <c r="E202" s="717" t="s">
        <v>2355</v>
      </c>
      <c r="F202" s="718" t="s">
        <v>2356</v>
      </c>
      <c r="G202" s="717" t="s">
        <v>2373</v>
      </c>
      <c r="H202" s="717" t="s">
        <v>2381</v>
      </c>
      <c r="I202" s="720">
        <v>2.3599998950958252</v>
      </c>
      <c r="J202" s="720">
        <v>100</v>
      </c>
      <c r="K202" s="721">
        <v>236</v>
      </c>
    </row>
    <row r="203" spans="1:11" ht="14.45" customHeight="1" x14ac:dyDescent="0.2">
      <c r="A203" s="715" t="s">
        <v>518</v>
      </c>
      <c r="B203" s="716" t="s">
        <v>519</v>
      </c>
      <c r="C203" s="717" t="s">
        <v>531</v>
      </c>
      <c r="D203" s="718" t="s">
        <v>532</v>
      </c>
      <c r="E203" s="717" t="s">
        <v>2355</v>
      </c>
      <c r="F203" s="718" t="s">
        <v>2356</v>
      </c>
      <c r="G203" s="717" t="s">
        <v>2375</v>
      </c>
      <c r="H203" s="717" t="s">
        <v>2382</v>
      </c>
      <c r="I203" s="720">
        <v>2.3599998950958252</v>
      </c>
      <c r="J203" s="720">
        <v>1000</v>
      </c>
      <c r="K203" s="721">
        <v>2360</v>
      </c>
    </row>
    <row r="204" spans="1:11" ht="14.45" customHeight="1" x14ac:dyDescent="0.2">
      <c r="A204" s="715" t="s">
        <v>518</v>
      </c>
      <c r="B204" s="716" t="s">
        <v>519</v>
      </c>
      <c r="C204" s="717" t="s">
        <v>531</v>
      </c>
      <c r="D204" s="718" t="s">
        <v>532</v>
      </c>
      <c r="E204" s="717" t="s">
        <v>2355</v>
      </c>
      <c r="F204" s="718" t="s">
        <v>2356</v>
      </c>
      <c r="G204" s="717" t="s">
        <v>2377</v>
      </c>
      <c r="H204" s="717" t="s">
        <v>2383</v>
      </c>
      <c r="I204" s="720">
        <v>2.3599998950958252</v>
      </c>
      <c r="J204" s="720">
        <v>1650</v>
      </c>
      <c r="K204" s="721">
        <v>3894</v>
      </c>
    </row>
    <row r="205" spans="1:11" ht="14.45" customHeight="1" x14ac:dyDescent="0.2">
      <c r="A205" s="715" t="s">
        <v>518</v>
      </c>
      <c r="B205" s="716" t="s">
        <v>519</v>
      </c>
      <c r="C205" s="717" t="s">
        <v>531</v>
      </c>
      <c r="D205" s="718" t="s">
        <v>532</v>
      </c>
      <c r="E205" s="717" t="s">
        <v>2355</v>
      </c>
      <c r="F205" s="718" t="s">
        <v>2356</v>
      </c>
      <c r="G205" s="717" t="s">
        <v>2379</v>
      </c>
      <c r="H205" s="717" t="s">
        <v>2384</v>
      </c>
      <c r="I205" s="720">
        <v>2.3599998950958252</v>
      </c>
      <c r="J205" s="720">
        <v>760</v>
      </c>
      <c r="K205" s="721">
        <v>1793.6000061035156</v>
      </c>
    </row>
    <row r="206" spans="1:11" ht="14.45" customHeight="1" x14ac:dyDescent="0.2">
      <c r="A206" s="715" t="s">
        <v>518</v>
      </c>
      <c r="B206" s="716" t="s">
        <v>519</v>
      </c>
      <c r="C206" s="717" t="s">
        <v>531</v>
      </c>
      <c r="D206" s="718" t="s">
        <v>532</v>
      </c>
      <c r="E206" s="717" t="s">
        <v>2355</v>
      </c>
      <c r="F206" s="718" t="s">
        <v>2356</v>
      </c>
      <c r="G206" s="717" t="s">
        <v>2385</v>
      </c>
      <c r="H206" s="717" t="s">
        <v>2386</v>
      </c>
      <c r="I206" s="720">
        <v>2.9000000953674316</v>
      </c>
      <c r="J206" s="720">
        <v>100</v>
      </c>
      <c r="K206" s="721">
        <v>290</v>
      </c>
    </row>
    <row r="207" spans="1:11" ht="14.45" customHeight="1" x14ac:dyDescent="0.2">
      <c r="A207" s="715" t="s">
        <v>518</v>
      </c>
      <c r="B207" s="716" t="s">
        <v>519</v>
      </c>
      <c r="C207" s="717" t="s">
        <v>531</v>
      </c>
      <c r="D207" s="718" t="s">
        <v>532</v>
      </c>
      <c r="E207" s="717" t="s">
        <v>2355</v>
      </c>
      <c r="F207" s="718" t="s">
        <v>2356</v>
      </c>
      <c r="G207" s="717" t="s">
        <v>2387</v>
      </c>
      <c r="H207" s="717" t="s">
        <v>2388</v>
      </c>
      <c r="I207" s="720">
        <v>2.9000000953674316</v>
      </c>
      <c r="J207" s="720">
        <v>100</v>
      </c>
      <c r="K207" s="721">
        <v>290</v>
      </c>
    </row>
    <row r="208" spans="1:11" ht="14.45" customHeight="1" x14ac:dyDescent="0.2">
      <c r="A208" s="715" t="s">
        <v>518</v>
      </c>
      <c r="B208" s="716" t="s">
        <v>519</v>
      </c>
      <c r="C208" s="717" t="s">
        <v>531</v>
      </c>
      <c r="D208" s="718" t="s">
        <v>532</v>
      </c>
      <c r="E208" s="717" t="s">
        <v>2355</v>
      </c>
      <c r="F208" s="718" t="s">
        <v>2356</v>
      </c>
      <c r="G208" s="717" t="s">
        <v>2389</v>
      </c>
      <c r="H208" s="717" t="s">
        <v>2390</v>
      </c>
      <c r="I208" s="720">
        <v>4.8119999885559084</v>
      </c>
      <c r="J208" s="720">
        <v>3300</v>
      </c>
      <c r="K208" s="721">
        <v>15881</v>
      </c>
    </row>
    <row r="209" spans="1:11" ht="14.45" customHeight="1" x14ac:dyDescent="0.2">
      <c r="A209" s="715" t="s">
        <v>518</v>
      </c>
      <c r="B209" s="716" t="s">
        <v>519</v>
      </c>
      <c r="C209" s="717" t="s">
        <v>531</v>
      </c>
      <c r="D209" s="718" t="s">
        <v>532</v>
      </c>
      <c r="E209" s="717" t="s">
        <v>2355</v>
      </c>
      <c r="F209" s="718" t="s">
        <v>2356</v>
      </c>
      <c r="G209" s="717" t="s">
        <v>2391</v>
      </c>
      <c r="H209" s="717" t="s">
        <v>2392</v>
      </c>
      <c r="I209" s="720">
        <v>1.2499999720603228E-2</v>
      </c>
      <c r="J209" s="720">
        <v>90</v>
      </c>
      <c r="K209" s="721">
        <v>1.1000000238418579</v>
      </c>
    </row>
    <row r="210" spans="1:11" ht="14.45" customHeight="1" x14ac:dyDescent="0.2">
      <c r="A210" s="715" t="s">
        <v>518</v>
      </c>
      <c r="B210" s="716" t="s">
        <v>519</v>
      </c>
      <c r="C210" s="717" t="s">
        <v>531</v>
      </c>
      <c r="D210" s="718" t="s">
        <v>532</v>
      </c>
      <c r="E210" s="717" t="s">
        <v>2355</v>
      </c>
      <c r="F210" s="718" t="s">
        <v>2356</v>
      </c>
      <c r="G210" s="717" t="s">
        <v>2389</v>
      </c>
      <c r="H210" s="717" t="s">
        <v>2393</v>
      </c>
      <c r="I210" s="720">
        <v>4.8171429634094238</v>
      </c>
      <c r="J210" s="720">
        <v>3300</v>
      </c>
      <c r="K210" s="721">
        <v>15896.5</v>
      </c>
    </row>
    <row r="211" spans="1:11" ht="14.45" customHeight="1" x14ac:dyDescent="0.2">
      <c r="A211" s="715" t="s">
        <v>518</v>
      </c>
      <c r="B211" s="716" t="s">
        <v>519</v>
      </c>
      <c r="C211" s="717" t="s">
        <v>531</v>
      </c>
      <c r="D211" s="718" t="s">
        <v>532</v>
      </c>
      <c r="E211" s="717" t="s">
        <v>2355</v>
      </c>
      <c r="F211" s="718" t="s">
        <v>2356</v>
      </c>
      <c r="G211" s="717" t="s">
        <v>2391</v>
      </c>
      <c r="H211" s="717" t="s">
        <v>2394</v>
      </c>
      <c r="I211" s="720">
        <v>9.9999997764825821E-3</v>
      </c>
      <c r="J211" s="720">
        <v>50</v>
      </c>
      <c r="K211" s="721">
        <v>0.5</v>
      </c>
    </row>
    <row r="212" spans="1:11" ht="14.45" customHeight="1" x14ac:dyDescent="0.2">
      <c r="A212" s="715" t="s">
        <v>518</v>
      </c>
      <c r="B212" s="716" t="s">
        <v>519</v>
      </c>
      <c r="C212" s="717" t="s">
        <v>531</v>
      </c>
      <c r="D212" s="718" t="s">
        <v>532</v>
      </c>
      <c r="E212" s="717" t="s">
        <v>2355</v>
      </c>
      <c r="F212" s="718" t="s">
        <v>2356</v>
      </c>
      <c r="G212" s="717" t="s">
        <v>2395</v>
      </c>
      <c r="H212" s="717" t="s">
        <v>2396</v>
      </c>
      <c r="I212" s="720">
        <v>1.6966667175292969</v>
      </c>
      <c r="J212" s="720">
        <v>1500</v>
      </c>
      <c r="K212" s="721">
        <v>2545</v>
      </c>
    </row>
    <row r="213" spans="1:11" ht="14.45" customHeight="1" x14ac:dyDescent="0.2">
      <c r="A213" s="715" t="s">
        <v>518</v>
      </c>
      <c r="B213" s="716" t="s">
        <v>519</v>
      </c>
      <c r="C213" s="717" t="s">
        <v>531</v>
      </c>
      <c r="D213" s="718" t="s">
        <v>532</v>
      </c>
      <c r="E213" s="717" t="s">
        <v>2355</v>
      </c>
      <c r="F213" s="718" t="s">
        <v>2356</v>
      </c>
      <c r="G213" s="717" t="s">
        <v>2395</v>
      </c>
      <c r="H213" s="717" t="s">
        <v>2397</v>
      </c>
      <c r="I213" s="720">
        <v>1.690000057220459</v>
      </c>
      <c r="J213" s="720">
        <v>1500</v>
      </c>
      <c r="K213" s="721">
        <v>2535</v>
      </c>
    </row>
    <row r="214" spans="1:11" ht="14.45" customHeight="1" x14ac:dyDescent="0.2">
      <c r="A214" s="715" t="s">
        <v>518</v>
      </c>
      <c r="B214" s="716" t="s">
        <v>519</v>
      </c>
      <c r="C214" s="717" t="s">
        <v>531</v>
      </c>
      <c r="D214" s="718" t="s">
        <v>532</v>
      </c>
      <c r="E214" s="717" t="s">
        <v>2355</v>
      </c>
      <c r="F214" s="718" t="s">
        <v>2356</v>
      </c>
      <c r="G214" s="717" t="s">
        <v>2395</v>
      </c>
      <c r="H214" s="717" t="s">
        <v>2398</v>
      </c>
      <c r="I214" s="720">
        <v>1.6942857674189977</v>
      </c>
      <c r="J214" s="720">
        <v>3500</v>
      </c>
      <c r="K214" s="721">
        <v>5930</v>
      </c>
    </row>
    <row r="215" spans="1:11" ht="14.45" customHeight="1" x14ac:dyDescent="0.2">
      <c r="A215" s="715" t="s">
        <v>518</v>
      </c>
      <c r="B215" s="716" t="s">
        <v>519</v>
      </c>
      <c r="C215" s="717" t="s">
        <v>531</v>
      </c>
      <c r="D215" s="718" t="s">
        <v>532</v>
      </c>
      <c r="E215" s="717" t="s">
        <v>2355</v>
      </c>
      <c r="F215" s="718" t="s">
        <v>2356</v>
      </c>
      <c r="G215" s="717" t="s">
        <v>2399</v>
      </c>
      <c r="H215" s="717" t="s">
        <v>2400</v>
      </c>
      <c r="I215" s="720">
        <v>15.922500133514404</v>
      </c>
      <c r="J215" s="720">
        <v>3000</v>
      </c>
      <c r="K215" s="721">
        <v>47765</v>
      </c>
    </row>
    <row r="216" spans="1:11" ht="14.45" customHeight="1" x14ac:dyDescent="0.2">
      <c r="A216" s="715" t="s">
        <v>518</v>
      </c>
      <c r="B216" s="716" t="s">
        <v>519</v>
      </c>
      <c r="C216" s="717" t="s">
        <v>531</v>
      </c>
      <c r="D216" s="718" t="s">
        <v>532</v>
      </c>
      <c r="E216" s="717" t="s">
        <v>2355</v>
      </c>
      <c r="F216" s="718" t="s">
        <v>2356</v>
      </c>
      <c r="G216" s="717" t="s">
        <v>2399</v>
      </c>
      <c r="H216" s="717" t="s">
        <v>2401</v>
      </c>
      <c r="I216" s="720">
        <v>15.926000213623047</v>
      </c>
      <c r="J216" s="720">
        <v>3100</v>
      </c>
      <c r="K216" s="721">
        <v>49369</v>
      </c>
    </row>
    <row r="217" spans="1:11" ht="14.45" customHeight="1" x14ac:dyDescent="0.2">
      <c r="A217" s="715" t="s">
        <v>518</v>
      </c>
      <c r="B217" s="716" t="s">
        <v>519</v>
      </c>
      <c r="C217" s="717" t="s">
        <v>531</v>
      </c>
      <c r="D217" s="718" t="s">
        <v>532</v>
      </c>
      <c r="E217" s="717" t="s">
        <v>2355</v>
      </c>
      <c r="F217" s="718" t="s">
        <v>2356</v>
      </c>
      <c r="G217" s="717" t="s">
        <v>2402</v>
      </c>
      <c r="H217" s="717" t="s">
        <v>2403</v>
      </c>
      <c r="I217" s="720">
        <v>62.689998626708984</v>
      </c>
      <c r="J217" s="720">
        <v>3</v>
      </c>
      <c r="K217" s="721">
        <v>188.07000732421875</v>
      </c>
    </row>
    <row r="218" spans="1:11" ht="14.45" customHeight="1" x14ac:dyDescent="0.2">
      <c r="A218" s="715" t="s">
        <v>518</v>
      </c>
      <c r="B218" s="716" t="s">
        <v>519</v>
      </c>
      <c r="C218" s="717" t="s">
        <v>531</v>
      </c>
      <c r="D218" s="718" t="s">
        <v>532</v>
      </c>
      <c r="E218" s="717" t="s">
        <v>2355</v>
      </c>
      <c r="F218" s="718" t="s">
        <v>2356</v>
      </c>
      <c r="G218" s="717" t="s">
        <v>2402</v>
      </c>
      <c r="H218" s="717" t="s">
        <v>2404</v>
      </c>
      <c r="I218" s="720">
        <v>57.375</v>
      </c>
      <c r="J218" s="720">
        <v>6</v>
      </c>
      <c r="K218" s="721">
        <v>350.08000183105469</v>
      </c>
    </row>
    <row r="219" spans="1:11" ht="14.45" customHeight="1" x14ac:dyDescent="0.2">
      <c r="A219" s="715" t="s">
        <v>518</v>
      </c>
      <c r="B219" s="716" t="s">
        <v>519</v>
      </c>
      <c r="C219" s="717" t="s">
        <v>531</v>
      </c>
      <c r="D219" s="718" t="s">
        <v>532</v>
      </c>
      <c r="E219" s="717" t="s">
        <v>2355</v>
      </c>
      <c r="F219" s="718" t="s">
        <v>2356</v>
      </c>
      <c r="G219" s="717" t="s">
        <v>2405</v>
      </c>
      <c r="H219" s="717" t="s">
        <v>2406</v>
      </c>
      <c r="I219" s="720">
        <v>5.2614287648882181</v>
      </c>
      <c r="J219" s="720">
        <v>3500</v>
      </c>
      <c r="K219" s="721">
        <v>18420</v>
      </c>
    </row>
    <row r="220" spans="1:11" ht="14.45" customHeight="1" x14ac:dyDescent="0.2">
      <c r="A220" s="715" t="s">
        <v>518</v>
      </c>
      <c r="B220" s="716" t="s">
        <v>519</v>
      </c>
      <c r="C220" s="717" t="s">
        <v>531</v>
      </c>
      <c r="D220" s="718" t="s">
        <v>532</v>
      </c>
      <c r="E220" s="717" t="s">
        <v>2355</v>
      </c>
      <c r="F220" s="718" t="s">
        <v>2356</v>
      </c>
      <c r="G220" s="717" t="s">
        <v>2407</v>
      </c>
      <c r="H220" s="717" t="s">
        <v>2408</v>
      </c>
      <c r="I220" s="720">
        <v>3.4857142993382046</v>
      </c>
      <c r="J220" s="720">
        <v>6200</v>
      </c>
      <c r="K220" s="721">
        <v>21604</v>
      </c>
    </row>
    <row r="221" spans="1:11" ht="14.45" customHeight="1" x14ac:dyDescent="0.2">
      <c r="A221" s="715" t="s">
        <v>518</v>
      </c>
      <c r="B221" s="716" t="s">
        <v>519</v>
      </c>
      <c r="C221" s="717" t="s">
        <v>531</v>
      </c>
      <c r="D221" s="718" t="s">
        <v>532</v>
      </c>
      <c r="E221" s="717" t="s">
        <v>2355</v>
      </c>
      <c r="F221" s="718" t="s">
        <v>2356</v>
      </c>
      <c r="G221" s="717" t="s">
        <v>2409</v>
      </c>
      <c r="H221" s="717" t="s">
        <v>2410</v>
      </c>
      <c r="I221" s="720">
        <v>17.666666666666668</v>
      </c>
      <c r="J221" s="720">
        <v>490</v>
      </c>
      <c r="K221" s="721">
        <v>8656.7000732421875</v>
      </c>
    </row>
    <row r="222" spans="1:11" ht="14.45" customHeight="1" x14ac:dyDescent="0.2">
      <c r="A222" s="715" t="s">
        <v>518</v>
      </c>
      <c r="B222" s="716" t="s">
        <v>519</v>
      </c>
      <c r="C222" s="717" t="s">
        <v>531</v>
      </c>
      <c r="D222" s="718" t="s">
        <v>532</v>
      </c>
      <c r="E222" s="717" t="s">
        <v>2355</v>
      </c>
      <c r="F222" s="718" t="s">
        <v>2356</v>
      </c>
      <c r="G222" s="717" t="s">
        <v>2405</v>
      </c>
      <c r="H222" s="717" t="s">
        <v>2411</v>
      </c>
      <c r="I222" s="720">
        <v>5.4171428680419922</v>
      </c>
      <c r="J222" s="720">
        <v>2800</v>
      </c>
      <c r="K222" s="721">
        <v>15092</v>
      </c>
    </row>
    <row r="223" spans="1:11" ht="14.45" customHeight="1" x14ac:dyDescent="0.2">
      <c r="A223" s="715" t="s">
        <v>518</v>
      </c>
      <c r="B223" s="716" t="s">
        <v>519</v>
      </c>
      <c r="C223" s="717" t="s">
        <v>531</v>
      </c>
      <c r="D223" s="718" t="s">
        <v>532</v>
      </c>
      <c r="E223" s="717" t="s">
        <v>2355</v>
      </c>
      <c r="F223" s="718" t="s">
        <v>2356</v>
      </c>
      <c r="G223" s="717" t="s">
        <v>2407</v>
      </c>
      <c r="H223" s="717" t="s">
        <v>2412</v>
      </c>
      <c r="I223" s="720">
        <v>3.4240000724792479</v>
      </c>
      <c r="J223" s="720">
        <v>8000</v>
      </c>
      <c r="K223" s="721">
        <v>27422</v>
      </c>
    </row>
    <row r="224" spans="1:11" ht="14.45" customHeight="1" x14ac:dyDescent="0.2">
      <c r="A224" s="715" t="s">
        <v>518</v>
      </c>
      <c r="B224" s="716" t="s">
        <v>519</v>
      </c>
      <c r="C224" s="717" t="s">
        <v>531</v>
      </c>
      <c r="D224" s="718" t="s">
        <v>532</v>
      </c>
      <c r="E224" s="717" t="s">
        <v>2355</v>
      </c>
      <c r="F224" s="718" t="s">
        <v>2356</v>
      </c>
      <c r="G224" s="717" t="s">
        <v>2413</v>
      </c>
      <c r="H224" s="717" t="s">
        <v>2414</v>
      </c>
      <c r="I224" s="720">
        <v>30.731999588012695</v>
      </c>
      <c r="J224" s="720">
        <v>400</v>
      </c>
      <c r="K224" s="721">
        <v>12293.659729003906</v>
      </c>
    </row>
    <row r="225" spans="1:11" ht="14.45" customHeight="1" x14ac:dyDescent="0.2">
      <c r="A225" s="715" t="s">
        <v>518</v>
      </c>
      <c r="B225" s="716" t="s">
        <v>519</v>
      </c>
      <c r="C225" s="717" t="s">
        <v>531</v>
      </c>
      <c r="D225" s="718" t="s">
        <v>532</v>
      </c>
      <c r="E225" s="717" t="s">
        <v>2355</v>
      </c>
      <c r="F225" s="718" t="s">
        <v>2356</v>
      </c>
      <c r="G225" s="717" t="s">
        <v>2415</v>
      </c>
      <c r="H225" s="717" t="s">
        <v>2416</v>
      </c>
      <c r="I225" s="720">
        <v>30.733332951863606</v>
      </c>
      <c r="J225" s="720">
        <v>440</v>
      </c>
      <c r="K225" s="721">
        <v>13522.999633789063</v>
      </c>
    </row>
    <row r="226" spans="1:11" ht="14.45" customHeight="1" x14ac:dyDescent="0.2">
      <c r="A226" s="715" t="s">
        <v>518</v>
      </c>
      <c r="B226" s="716" t="s">
        <v>519</v>
      </c>
      <c r="C226" s="717" t="s">
        <v>531</v>
      </c>
      <c r="D226" s="718" t="s">
        <v>532</v>
      </c>
      <c r="E226" s="717" t="s">
        <v>2355</v>
      </c>
      <c r="F226" s="718" t="s">
        <v>2356</v>
      </c>
      <c r="G226" s="717" t="s">
        <v>2417</v>
      </c>
      <c r="H226" s="717" t="s">
        <v>2418</v>
      </c>
      <c r="I226" s="720">
        <v>30.729999542236328</v>
      </c>
      <c r="J226" s="720">
        <v>400</v>
      </c>
      <c r="K226" s="721">
        <v>12293.599609375</v>
      </c>
    </row>
    <row r="227" spans="1:11" ht="14.45" customHeight="1" x14ac:dyDescent="0.2">
      <c r="A227" s="715" t="s">
        <v>518</v>
      </c>
      <c r="B227" s="716" t="s">
        <v>519</v>
      </c>
      <c r="C227" s="717" t="s">
        <v>531</v>
      </c>
      <c r="D227" s="718" t="s">
        <v>532</v>
      </c>
      <c r="E227" s="717" t="s">
        <v>2355</v>
      </c>
      <c r="F227" s="718" t="s">
        <v>2356</v>
      </c>
      <c r="G227" s="717" t="s">
        <v>2409</v>
      </c>
      <c r="H227" s="717" t="s">
        <v>2419</v>
      </c>
      <c r="I227" s="720">
        <v>16.913333892822266</v>
      </c>
      <c r="J227" s="720">
        <v>440</v>
      </c>
      <c r="K227" s="721">
        <v>7463.2000122070313</v>
      </c>
    </row>
    <row r="228" spans="1:11" ht="14.45" customHeight="1" x14ac:dyDescent="0.2">
      <c r="A228" s="715" t="s">
        <v>518</v>
      </c>
      <c r="B228" s="716" t="s">
        <v>519</v>
      </c>
      <c r="C228" s="717" t="s">
        <v>531</v>
      </c>
      <c r="D228" s="718" t="s">
        <v>532</v>
      </c>
      <c r="E228" s="717" t="s">
        <v>2355</v>
      </c>
      <c r="F228" s="718" t="s">
        <v>2356</v>
      </c>
      <c r="G228" s="717" t="s">
        <v>2420</v>
      </c>
      <c r="H228" s="717" t="s">
        <v>2421</v>
      </c>
      <c r="I228" s="720">
        <v>15.130000114440918</v>
      </c>
      <c r="J228" s="720">
        <v>300</v>
      </c>
      <c r="K228" s="721">
        <v>4537.5</v>
      </c>
    </row>
    <row r="229" spans="1:11" ht="14.45" customHeight="1" x14ac:dyDescent="0.2">
      <c r="A229" s="715" t="s">
        <v>518</v>
      </c>
      <c r="B229" s="716" t="s">
        <v>519</v>
      </c>
      <c r="C229" s="717" t="s">
        <v>531</v>
      </c>
      <c r="D229" s="718" t="s">
        <v>532</v>
      </c>
      <c r="E229" s="717" t="s">
        <v>2355</v>
      </c>
      <c r="F229" s="718" t="s">
        <v>2356</v>
      </c>
      <c r="G229" s="717" t="s">
        <v>2422</v>
      </c>
      <c r="H229" s="717" t="s">
        <v>2423</v>
      </c>
      <c r="I229" s="720">
        <v>31.069999694824219</v>
      </c>
      <c r="J229" s="720">
        <v>150</v>
      </c>
      <c r="K229" s="721">
        <v>4660.919921875</v>
      </c>
    </row>
    <row r="230" spans="1:11" ht="14.45" customHeight="1" x14ac:dyDescent="0.2">
      <c r="A230" s="715" t="s">
        <v>518</v>
      </c>
      <c r="B230" s="716" t="s">
        <v>519</v>
      </c>
      <c r="C230" s="717" t="s">
        <v>531</v>
      </c>
      <c r="D230" s="718" t="s">
        <v>532</v>
      </c>
      <c r="E230" s="717" t="s">
        <v>2355</v>
      </c>
      <c r="F230" s="718" t="s">
        <v>2356</v>
      </c>
      <c r="G230" s="717" t="s">
        <v>2422</v>
      </c>
      <c r="H230" s="717" t="s">
        <v>2424</v>
      </c>
      <c r="I230" s="720">
        <v>31.069999694824219</v>
      </c>
      <c r="J230" s="720">
        <v>275</v>
      </c>
      <c r="K230" s="721">
        <v>8545.0198974609375</v>
      </c>
    </row>
    <row r="231" spans="1:11" ht="14.45" customHeight="1" x14ac:dyDescent="0.2">
      <c r="A231" s="715" t="s">
        <v>518</v>
      </c>
      <c r="B231" s="716" t="s">
        <v>519</v>
      </c>
      <c r="C231" s="717" t="s">
        <v>531</v>
      </c>
      <c r="D231" s="718" t="s">
        <v>532</v>
      </c>
      <c r="E231" s="717" t="s">
        <v>2355</v>
      </c>
      <c r="F231" s="718" t="s">
        <v>2356</v>
      </c>
      <c r="G231" s="717" t="s">
        <v>2425</v>
      </c>
      <c r="H231" s="717" t="s">
        <v>2426</v>
      </c>
      <c r="I231" s="720">
        <v>17.909999847412109</v>
      </c>
      <c r="J231" s="720">
        <v>10</v>
      </c>
      <c r="K231" s="721">
        <v>179.10000610351563</v>
      </c>
    </row>
    <row r="232" spans="1:11" ht="14.45" customHeight="1" x14ac:dyDescent="0.2">
      <c r="A232" s="715" t="s">
        <v>518</v>
      </c>
      <c r="B232" s="716" t="s">
        <v>519</v>
      </c>
      <c r="C232" s="717" t="s">
        <v>531</v>
      </c>
      <c r="D232" s="718" t="s">
        <v>532</v>
      </c>
      <c r="E232" s="717" t="s">
        <v>2355</v>
      </c>
      <c r="F232" s="718" t="s">
        <v>2356</v>
      </c>
      <c r="G232" s="717" t="s">
        <v>2427</v>
      </c>
      <c r="H232" s="717" t="s">
        <v>2428</v>
      </c>
      <c r="I232" s="720">
        <v>17.909999847412109</v>
      </c>
      <c r="J232" s="720">
        <v>10</v>
      </c>
      <c r="K232" s="721">
        <v>179.10000610351563</v>
      </c>
    </row>
    <row r="233" spans="1:11" ht="14.45" customHeight="1" x14ac:dyDescent="0.2">
      <c r="A233" s="715" t="s">
        <v>518</v>
      </c>
      <c r="B233" s="716" t="s">
        <v>519</v>
      </c>
      <c r="C233" s="717" t="s">
        <v>531</v>
      </c>
      <c r="D233" s="718" t="s">
        <v>532</v>
      </c>
      <c r="E233" s="717" t="s">
        <v>2355</v>
      </c>
      <c r="F233" s="718" t="s">
        <v>2356</v>
      </c>
      <c r="G233" s="717" t="s">
        <v>2427</v>
      </c>
      <c r="H233" s="717" t="s">
        <v>2429</v>
      </c>
      <c r="I233" s="720">
        <v>17.909999847412109</v>
      </c>
      <c r="J233" s="720">
        <v>10</v>
      </c>
      <c r="K233" s="721">
        <v>179.10000610351563</v>
      </c>
    </row>
    <row r="234" spans="1:11" ht="14.45" customHeight="1" x14ac:dyDescent="0.2">
      <c r="A234" s="715" t="s">
        <v>518</v>
      </c>
      <c r="B234" s="716" t="s">
        <v>519</v>
      </c>
      <c r="C234" s="717" t="s">
        <v>531</v>
      </c>
      <c r="D234" s="718" t="s">
        <v>532</v>
      </c>
      <c r="E234" s="717" t="s">
        <v>2355</v>
      </c>
      <c r="F234" s="718" t="s">
        <v>2356</v>
      </c>
      <c r="G234" s="717" t="s">
        <v>2430</v>
      </c>
      <c r="H234" s="717" t="s">
        <v>2431</v>
      </c>
      <c r="I234" s="720">
        <v>17.909999847412109</v>
      </c>
      <c r="J234" s="720">
        <v>10</v>
      </c>
      <c r="K234" s="721">
        <v>179.10000610351563</v>
      </c>
    </row>
    <row r="235" spans="1:11" ht="14.45" customHeight="1" x14ac:dyDescent="0.2">
      <c r="A235" s="715" t="s">
        <v>518</v>
      </c>
      <c r="B235" s="716" t="s">
        <v>519</v>
      </c>
      <c r="C235" s="717" t="s">
        <v>531</v>
      </c>
      <c r="D235" s="718" t="s">
        <v>532</v>
      </c>
      <c r="E235" s="717" t="s">
        <v>2355</v>
      </c>
      <c r="F235" s="718" t="s">
        <v>2356</v>
      </c>
      <c r="G235" s="717" t="s">
        <v>2432</v>
      </c>
      <c r="H235" s="717" t="s">
        <v>2433</v>
      </c>
      <c r="I235" s="720">
        <v>17.909999847412109</v>
      </c>
      <c r="J235" s="720">
        <v>10</v>
      </c>
      <c r="K235" s="721">
        <v>179.08000183105469</v>
      </c>
    </row>
    <row r="236" spans="1:11" ht="14.45" customHeight="1" x14ac:dyDescent="0.2">
      <c r="A236" s="715" t="s">
        <v>518</v>
      </c>
      <c r="B236" s="716" t="s">
        <v>519</v>
      </c>
      <c r="C236" s="717" t="s">
        <v>531</v>
      </c>
      <c r="D236" s="718" t="s">
        <v>532</v>
      </c>
      <c r="E236" s="717" t="s">
        <v>2355</v>
      </c>
      <c r="F236" s="718" t="s">
        <v>2356</v>
      </c>
      <c r="G236" s="717" t="s">
        <v>2434</v>
      </c>
      <c r="H236" s="717" t="s">
        <v>2435</v>
      </c>
      <c r="I236" s="720">
        <v>750.20001220703125</v>
      </c>
      <c r="J236" s="720">
        <v>6</v>
      </c>
      <c r="K236" s="721">
        <v>4501.2000732421875</v>
      </c>
    </row>
    <row r="237" spans="1:11" ht="14.45" customHeight="1" x14ac:dyDescent="0.2">
      <c r="A237" s="715" t="s">
        <v>518</v>
      </c>
      <c r="B237" s="716" t="s">
        <v>519</v>
      </c>
      <c r="C237" s="717" t="s">
        <v>531</v>
      </c>
      <c r="D237" s="718" t="s">
        <v>532</v>
      </c>
      <c r="E237" s="717" t="s">
        <v>2355</v>
      </c>
      <c r="F237" s="718" t="s">
        <v>2356</v>
      </c>
      <c r="G237" s="717" t="s">
        <v>2436</v>
      </c>
      <c r="H237" s="717" t="s">
        <v>2437</v>
      </c>
      <c r="I237" s="720">
        <v>527.969970703125</v>
      </c>
      <c r="J237" s="720">
        <v>10</v>
      </c>
      <c r="K237" s="721">
        <v>5279.64990234375</v>
      </c>
    </row>
    <row r="238" spans="1:11" ht="14.45" customHeight="1" x14ac:dyDescent="0.2">
      <c r="A238" s="715" t="s">
        <v>518</v>
      </c>
      <c r="B238" s="716" t="s">
        <v>519</v>
      </c>
      <c r="C238" s="717" t="s">
        <v>531</v>
      </c>
      <c r="D238" s="718" t="s">
        <v>532</v>
      </c>
      <c r="E238" s="717" t="s">
        <v>2355</v>
      </c>
      <c r="F238" s="718" t="s">
        <v>2356</v>
      </c>
      <c r="G238" s="717" t="s">
        <v>2438</v>
      </c>
      <c r="H238" s="717" t="s">
        <v>2439</v>
      </c>
      <c r="I238" s="720">
        <v>484.03667195638019</v>
      </c>
      <c r="J238" s="720">
        <v>25</v>
      </c>
      <c r="K238" s="721">
        <v>12100.899658203125</v>
      </c>
    </row>
    <row r="239" spans="1:11" ht="14.45" customHeight="1" x14ac:dyDescent="0.2">
      <c r="A239" s="715" t="s">
        <v>518</v>
      </c>
      <c r="B239" s="716" t="s">
        <v>519</v>
      </c>
      <c r="C239" s="717" t="s">
        <v>531</v>
      </c>
      <c r="D239" s="718" t="s">
        <v>532</v>
      </c>
      <c r="E239" s="717" t="s">
        <v>2355</v>
      </c>
      <c r="F239" s="718" t="s">
        <v>2356</v>
      </c>
      <c r="G239" s="717" t="s">
        <v>2440</v>
      </c>
      <c r="H239" s="717" t="s">
        <v>2441</v>
      </c>
      <c r="I239" s="720">
        <v>646.760009765625</v>
      </c>
      <c r="J239" s="720">
        <v>10</v>
      </c>
      <c r="K239" s="721">
        <v>6467.60009765625</v>
      </c>
    </row>
    <row r="240" spans="1:11" ht="14.45" customHeight="1" x14ac:dyDescent="0.2">
      <c r="A240" s="715" t="s">
        <v>518</v>
      </c>
      <c r="B240" s="716" t="s">
        <v>519</v>
      </c>
      <c r="C240" s="717" t="s">
        <v>531</v>
      </c>
      <c r="D240" s="718" t="s">
        <v>532</v>
      </c>
      <c r="E240" s="717" t="s">
        <v>2355</v>
      </c>
      <c r="F240" s="718" t="s">
        <v>2356</v>
      </c>
      <c r="G240" s="717" t="s">
        <v>2438</v>
      </c>
      <c r="H240" s="717" t="s">
        <v>2442</v>
      </c>
      <c r="I240" s="720">
        <v>484.04000854492188</v>
      </c>
      <c r="J240" s="720">
        <v>10</v>
      </c>
      <c r="K240" s="721">
        <v>4840.39990234375</v>
      </c>
    </row>
    <row r="241" spans="1:11" ht="14.45" customHeight="1" x14ac:dyDescent="0.2">
      <c r="A241" s="715" t="s">
        <v>518</v>
      </c>
      <c r="B241" s="716" t="s">
        <v>519</v>
      </c>
      <c r="C241" s="717" t="s">
        <v>531</v>
      </c>
      <c r="D241" s="718" t="s">
        <v>532</v>
      </c>
      <c r="E241" s="717" t="s">
        <v>2355</v>
      </c>
      <c r="F241" s="718" t="s">
        <v>2356</v>
      </c>
      <c r="G241" s="717" t="s">
        <v>2443</v>
      </c>
      <c r="H241" s="717" t="s">
        <v>2444</v>
      </c>
      <c r="I241" s="720">
        <v>484.04000854492188</v>
      </c>
      <c r="J241" s="720">
        <v>10</v>
      </c>
      <c r="K241" s="721">
        <v>4840.35009765625</v>
      </c>
    </row>
    <row r="242" spans="1:11" ht="14.45" customHeight="1" x14ac:dyDescent="0.2">
      <c r="A242" s="715" t="s">
        <v>518</v>
      </c>
      <c r="B242" s="716" t="s">
        <v>519</v>
      </c>
      <c r="C242" s="717" t="s">
        <v>531</v>
      </c>
      <c r="D242" s="718" t="s">
        <v>532</v>
      </c>
      <c r="E242" s="717" t="s">
        <v>2355</v>
      </c>
      <c r="F242" s="718" t="s">
        <v>2356</v>
      </c>
      <c r="G242" s="717" t="s">
        <v>2445</v>
      </c>
      <c r="H242" s="717" t="s">
        <v>2446</v>
      </c>
      <c r="I242" s="720">
        <v>527.969970703125</v>
      </c>
      <c r="J242" s="720">
        <v>30</v>
      </c>
      <c r="K242" s="721">
        <v>15838.9697265625</v>
      </c>
    </row>
    <row r="243" spans="1:11" ht="14.45" customHeight="1" x14ac:dyDescent="0.2">
      <c r="A243" s="715" t="s">
        <v>518</v>
      </c>
      <c r="B243" s="716" t="s">
        <v>519</v>
      </c>
      <c r="C243" s="717" t="s">
        <v>531</v>
      </c>
      <c r="D243" s="718" t="s">
        <v>532</v>
      </c>
      <c r="E243" s="717" t="s">
        <v>2355</v>
      </c>
      <c r="F243" s="718" t="s">
        <v>2356</v>
      </c>
      <c r="G243" s="717" t="s">
        <v>2445</v>
      </c>
      <c r="H243" s="717" t="s">
        <v>2447</v>
      </c>
      <c r="I243" s="720">
        <v>527.969970703125</v>
      </c>
      <c r="J243" s="720">
        <v>20</v>
      </c>
      <c r="K243" s="721">
        <v>10559.38037109375</v>
      </c>
    </row>
    <row r="244" spans="1:11" ht="14.45" customHeight="1" x14ac:dyDescent="0.2">
      <c r="A244" s="715" t="s">
        <v>518</v>
      </c>
      <c r="B244" s="716" t="s">
        <v>519</v>
      </c>
      <c r="C244" s="717" t="s">
        <v>531</v>
      </c>
      <c r="D244" s="718" t="s">
        <v>532</v>
      </c>
      <c r="E244" s="717" t="s">
        <v>2355</v>
      </c>
      <c r="F244" s="718" t="s">
        <v>2356</v>
      </c>
      <c r="G244" s="717" t="s">
        <v>2448</v>
      </c>
      <c r="H244" s="717" t="s">
        <v>2449</v>
      </c>
      <c r="I244" s="720">
        <v>527.969970703125</v>
      </c>
      <c r="J244" s="720">
        <v>10</v>
      </c>
      <c r="K244" s="721">
        <v>5279.64990234375</v>
      </c>
    </row>
    <row r="245" spans="1:11" ht="14.45" customHeight="1" x14ac:dyDescent="0.2">
      <c r="A245" s="715" t="s">
        <v>518</v>
      </c>
      <c r="B245" s="716" t="s">
        <v>519</v>
      </c>
      <c r="C245" s="717" t="s">
        <v>531</v>
      </c>
      <c r="D245" s="718" t="s">
        <v>532</v>
      </c>
      <c r="E245" s="717" t="s">
        <v>2355</v>
      </c>
      <c r="F245" s="718" t="s">
        <v>2356</v>
      </c>
      <c r="G245" s="717" t="s">
        <v>2450</v>
      </c>
      <c r="H245" s="717" t="s">
        <v>2451</v>
      </c>
      <c r="I245" s="720">
        <v>484.04000854492188</v>
      </c>
      <c r="J245" s="720">
        <v>10</v>
      </c>
      <c r="K245" s="721">
        <v>4840.35009765625</v>
      </c>
    </row>
    <row r="246" spans="1:11" ht="14.45" customHeight="1" x14ac:dyDescent="0.2">
      <c r="A246" s="715" t="s">
        <v>518</v>
      </c>
      <c r="B246" s="716" t="s">
        <v>519</v>
      </c>
      <c r="C246" s="717" t="s">
        <v>531</v>
      </c>
      <c r="D246" s="718" t="s">
        <v>532</v>
      </c>
      <c r="E246" s="717" t="s">
        <v>2355</v>
      </c>
      <c r="F246" s="718" t="s">
        <v>2356</v>
      </c>
      <c r="G246" s="717" t="s">
        <v>2452</v>
      </c>
      <c r="H246" s="717" t="s">
        <v>2453</v>
      </c>
      <c r="I246" s="720">
        <v>646.760009765625</v>
      </c>
      <c r="J246" s="720">
        <v>4</v>
      </c>
      <c r="K246" s="721">
        <v>2587.0400390625</v>
      </c>
    </row>
    <row r="247" spans="1:11" ht="14.45" customHeight="1" x14ac:dyDescent="0.2">
      <c r="A247" s="715" t="s">
        <v>518</v>
      </c>
      <c r="B247" s="716" t="s">
        <v>519</v>
      </c>
      <c r="C247" s="717" t="s">
        <v>531</v>
      </c>
      <c r="D247" s="718" t="s">
        <v>532</v>
      </c>
      <c r="E247" s="717" t="s">
        <v>2355</v>
      </c>
      <c r="F247" s="718" t="s">
        <v>2356</v>
      </c>
      <c r="G247" s="717" t="s">
        <v>2452</v>
      </c>
      <c r="H247" s="717" t="s">
        <v>2454</v>
      </c>
      <c r="I247" s="720">
        <v>646.75</v>
      </c>
      <c r="J247" s="720">
        <v>2</v>
      </c>
      <c r="K247" s="721">
        <v>1293.5</v>
      </c>
    </row>
    <row r="248" spans="1:11" ht="14.45" customHeight="1" x14ac:dyDescent="0.2">
      <c r="A248" s="715" t="s">
        <v>518</v>
      </c>
      <c r="B248" s="716" t="s">
        <v>519</v>
      </c>
      <c r="C248" s="717" t="s">
        <v>531</v>
      </c>
      <c r="D248" s="718" t="s">
        <v>532</v>
      </c>
      <c r="E248" s="717" t="s">
        <v>2355</v>
      </c>
      <c r="F248" s="718" t="s">
        <v>2356</v>
      </c>
      <c r="G248" s="717" t="s">
        <v>2455</v>
      </c>
      <c r="H248" s="717" t="s">
        <v>2456</v>
      </c>
      <c r="I248" s="720">
        <v>17.979999542236328</v>
      </c>
      <c r="J248" s="720">
        <v>50</v>
      </c>
      <c r="K248" s="721">
        <v>899</v>
      </c>
    </row>
    <row r="249" spans="1:11" ht="14.45" customHeight="1" x14ac:dyDescent="0.2">
      <c r="A249" s="715" t="s">
        <v>518</v>
      </c>
      <c r="B249" s="716" t="s">
        <v>519</v>
      </c>
      <c r="C249" s="717" t="s">
        <v>531</v>
      </c>
      <c r="D249" s="718" t="s">
        <v>532</v>
      </c>
      <c r="E249" s="717" t="s">
        <v>2355</v>
      </c>
      <c r="F249" s="718" t="s">
        <v>2356</v>
      </c>
      <c r="G249" s="717" t="s">
        <v>2457</v>
      </c>
      <c r="H249" s="717" t="s">
        <v>2458</v>
      </c>
      <c r="I249" s="720">
        <v>17.979999542236328</v>
      </c>
      <c r="J249" s="720">
        <v>50</v>
      </c>
      <c r="K249" s="721">
        <v>899</v>
      </c>
    </row>
    <row r="250" spans="1:11" ht="14.45" customHeight="1" x14ac:dyDescent="0.2">
      <c r="A250" s="715" t="s">
        <v>518</v>
      </c>
      <c r="B250" s="716" t="s">
        <v>519</v>
      </c>
      <c r="C250" s="717" t="s">
        <v>531</v>
      </c>
      <c r="D250" s="718" t="s">
        <v>532</v>
      </c>
      <c r="E250" s="717" t="s">
        <v>2355</v>
      </c>
      <c r="F250" s="718" t="s">
        <v>2356</v>
      </c>
      <c r="G250" s="717" t="s">
        <v>2457</v>
      </c>
      <c r="H250" s="717" t="s">
        <v>2459</v>
      </c>
      <c r="I250" s="720">
        <v>17.979999542236328</v>
      </c>
      <c r="J250" s="720">
        <v>50</v>
      </c>
      <c r="K250" s="721">
        <v>899</v>
      </c>
    </row>
    <row r="251" spans="1:11" ht="14.45" customHeight="1" x14ac:dyDescent="0.2">
      <c r="A251" s="715" t="s">
        <v>518</v>
      </c>
      <c r="B251" s="716" t="s">
        <v>519</v>
      </c>
      <c r="C251" s="717" t="s">
        <v>531</v>
      </c>
      <c r="D251" s="718" t="s">
        <v>532</v>
      </c>
      <c r="E251" s="717" t="s">
        <v>2355</v>
      </c>
      <c r="F251" s="718" t="s">
        <v>2356</v>
      </c>
      <c r="G251" s="717" t="s">
        <v>2460</v>
      </c>
      <c r="H251" s="717" t="s">
        <v>2461</v>
      </c>
      <c r="I251" s="720">
        <v>17.979999542236328</v>
      </c>
      <c r="J251" s="720">
        <v>100</v>
      </c>
      <c r="K251" s="721">
        <v>1798</v>
      </c>
    </row>
    <row r="252" spans="1:11" ht="14.45" customHeight="1" x14ac:dyDescent="0.2">
      <c r="A252" s="715" t="s">
        <v>518</v>
      </c>
      <c r="B252" s="716" t="s">
        <v>519</v>
      </c>
      <c r="C252" s="717" t="s">
        <v>531</v>
      </c>
      <c r="D252" s="718" t="s">
        <v>532</v>
      </c>
      <c r="E252" s="717" t="s">
        <v>2355</v>
      </c>
      <c r="F252" s="718" t="s">
        <v>2356</v>
      </c>
      <c r="G252" s="717" t="s">
        <v>2460</v>
      </c>
      <c r="H252" s="717" t="s">
        <v>2462</v>
      </c>
      <c r="I252" s="720">
        <v>17.979999542236328</v>
      </c>
      <c r="J252" s="720">
        <v>200</v>
      </c>
      <c r="K252" s="721">
        <v>3596</v>
      </c>
    </row>
    <row r="253" spans="1:11" ht="14.45" customHeight="1" x14ac:dyDescent="0.2">
      <c r="A253" s="715" t="s">
        <v>518</v>
      </c>
      <c r="B253" s="716" t="s">
        <v>519</v>
      </c>
      <c r="C253" s="717" t="s">
        <v>531</v>
      </c>
      <c r="D253" s="718" t="s">
        <v>532</v>
      </c>
      <c r="E253" s="717" t="s">
        <v>2355</v>
      </c>
      <c r="F253" s="718" t="s">
        <v>2356</v>
      </c>
      <c r="G253" s="717" t="s">
        <v>2463</v>
      </c>
      <c r="H253" s="717" t="s">
        <v>2464</v>
      </c>
      <c r="I253" s="720">
        <v>17.979999542236328</v>
      </c>
      <c r="J253" s="720">
        <v>150</v>
      </c>
      <c r="K253" s="721">
        <v>2697</v>
      </c>
    </row>
    <row r="254" spans="1:11" ht="14.45" customHeight="1" x14ac:dyDescent="0.2">
      <c r="A254" s="715" t="s">
        <v>518</v>
      </c>
      <c r="B254" s="716" t="s">
        <v>519</v>
      </c>
      <c r="C254" s="717" t="s">
        <v>531</v>
      </c>
      <c r="D254" s="718" t="s">
        <v>532</v>
      </c>
      <c r="E254" s="717" t="s">
        <v>2355</v>
      </c>
      <c r="F254" s="718" t="s">
        <v>2356</v>
      </c>
      <c r="G254" s="717" t="s">
        <v>2463</v>
      </c>
      <c r="H254" s="717" t="s">
        <v>2465</v>
      </c>
      <c r="I254" s="720">
        <v>17.979999542236328</v>
      </c>
      <c r="J254" s="720">
        <v>50</v>
      </c>
      <c r="K254" s="721">
        <v>899</v>
      </c>
    </row>
    <row r="255" spans="1:11" ht="14.45" customHeight="1" x14ac:dyDescent="0.2">
      <c r="A255" s="715" t="s">
        <v>518</v>
      </c>
      <c r="B255" s="716" t="s">
        <v>519</v>
      </c>
      <c r="C255" s="717" t="s">
        <v>531</v>
      </c>
      <c r="D255" s="718" t="s">
        <v>532</v>
      </c>
      <c r="E255" s="717" t="s">
        <v>2355</v>
      </c>
      <c r="F255" s="718" t="s">
        <v>2356</v>
      </c>
      <c r="G255" s="717" t="s">
        <v>2466</v>
      </c>
      <c r="H255" s="717" t="s">
        <v>2467</v>
      </c>
      <c r="I255" s="720">
        <v>1.809999942779541</v>
      </c>
      <c r="J255" s="720">
        <v>20</v>
      </c>
      <c r="K255" s="721">
        <v>36.200000762939453</v>
      </c>
    </row>
    <row r="256" spans="1:11" ht="14.45" customHeight="1" x14ac:dyDescent="0.2">
      <c r="A256" s="715" t="s">
        <v>518</v>
      </c>
      <c r="B256" s="716" t="s">
        <v>519</v>
      </c>
      <c r="C256" s="717" t="s">
        <v>531</v>
      </c>
      <c r="D256" s="718" t="s">
        <v>532</v>
      </c>
      <c r="E256" s="717" t="s">
        <v>2355</v>
      </c>
      <c r="F256" s="718" t="s">
        <v>2356</v>
      </c>
      <c r="G256" s="717" t="s">
        <v>2468</v>
      </c>
      <c r="H256" s="717" t="s">
        <v>2469</v>
      </c>
      <c r="I256" s="720">
        <v>12.100000381469727</v>
      </c>
      <c r="J256" s="720">
        <v>450</v>
      </c>
      <c r="K256" s="721">
        <v>5445</v>
      </c>
    </row>
    <row r="257" spans="1:11" ht="14.45" customHeight="1" x14ac:dyDescent="0.2">
      <c r="A257" s="715" t="s">
        <v>518</v>
      </c>
      <c r="B257" s="716" t="s">
        <v>519</v>
      </c>
      <c r="C257" s="717" t="s">
        <v>531</v>
      </c>
      <c r="D257" s="718" t="s">
        <v>532</v>
      </c>
      <c r="E257" s="717" t="s">
        <v>2355</v>
      </c>
      <c r="F257" s="718" t="s">
        <v>2356</v>
      </c>
      <c r="G257" s="717" t="s">
        <v>2470</v>
      </c>
      <c r="H257" s="717" t="s">
        <v>2471</v>
      </c>
      <c r="I257" s="720">
        <v>16.340000152587891</v>
      </c>
      <c r="J257" s="720">
        <v>24</v>
      </c>
      <c r="K257" s="721">
        <v>392.04000854492188</v>
      </c>
    </row>
    <row r="258" spans="1:11" ht="14.45" customHeight="1" x14ac:dyDescent="0.2">
      <c r="A258" s="715" t="s">
        <v>518</v>
      </c>
      <c r="B258" s="716" t="s">
        <v>519</v>
      </c>
      <c r="C258" s="717" t="s">
        <v>531</v>
      </c>
      <c r="D258" s="718" t="s">
        <v>532</v>
      </c>
      <c r="E258" s="717" t="s">
        <v>2355</v>
      </c>
      <c r="F258" s="718" t="s">
        <v>2356</v>
      </c>
      <c r="G258" s="717" t="s">
        <v>2472</v>
      </c>
      <c r="H258" s="717" t="s">
        <v>2473</v>
      </c>
      <c r="I258" s="720">
        <v>13.210000038146973</v>
      </c>
      <c r="J258" s="720">
        <v>20</v>
      </c>
      <c r="K258" s="721">
        <v>264.20001220703125</v>
      </c>
    </row>
    <row r="259" spans="1:11" ht="14.45" customHeight="1" x14ac:dyDescent="0.2">
      <c r="A259" s="715" t="s">
        <v>518</v>
      </c>
      <c r="B259" s="716" t="s">
        <v>519</v>
      </c>
      <c r="C259" s="717" t="s">
        <v>531</v>
      </c>
      <c r="D259" s="718" t="s">
        <v>532</v>
      </c>
      <c r="E259" s="717" t="s">
        <v>2355</v>
      </c>
      <c r="F259" s="718" t="s">
        <v>2356</v>
      </c>
      <c r="G259" s="717" t="s">
        <v>2474</v>
      </c>
      <c r="H259" s="717" t="s">
        <v>2475</v>
      </c>
      <c r="I259" s="720">
        <v>22.989999771118164</v>
      </c>
      <c r="J259" s="720">
        <v>10</v>
      </c>
      <c r="K259" s="721">
        <v>229.89999389648438</v>
      </c>
    </row>
    <row r="260" spans="1:11" ht="14.45" customHeight="1" x14ac:dyDescent="0.2">
      <c r="A260" s="715" t="s">
        <v>518</v>
      </c>
      <c r="B260" s="716" t="s">
        <v>519</v>
      </c>
      <c r="C260" s="717" t="s">
        <v>531</v>
      </c>
      <c r="D260" s="718" t="s">
        <v>532</v>
      </c>
      <c r="E260" s="717" t="s">
        <v>2355</v>
      </c>
      <c r="F260" s="718" t="s">
        <v>2356</v>
      </c>
      <c r="G260" s="717" t="s">
        <v>2476</v>
      </c>
      <c r="H260" s="717" t="s">
        <v>2477</v>
      </c>
      <c r="I260" s="720">
        <v>22.989999771118164</v>
      </c>
      <c r="J260" s="720">
        <v>40</v>
      </c>
      <c r="K260" s="721">
        <v>919.5999755859375</v>
      </c>
    </row>
    <row r="261" spans="1:11" ht="14.45" customHeight="1" x14ac:dyDescent="0.2">
      <c r="A261" s="715" t="s">
        <v>518</v>
      </c>
      <c r="B261" s="716" t="s">
        <v>519</v>
      </c>
      <c r="C261" s="717" t="s">
        <v>531</v>
      </c>
      <c r="D261" s="718" t="s">
        <v>532</v>
      </c>
      <c r="E261" s="717" t="s">
        <v>2355</v>
      </c>
      <c r="F261" s="718" t="s">
        <v>2356</v>
      </c>
      <c r="G261" s="717" t="s">
        <v>2478</v>
      </c>
      <c r="H261" s="717" t="s">
        <v>2479</v>
      </c>
      <c r="I261" s="720">
        <v>22.989999771118164</v>
      </c>
      <c r="J261" s="720">
        <v>20</v>
      </c>
      <c r="K261" s="721">
        <v>459.79998779296875</v>
      </c>
    </row>
    <row r="262" spans="1:11" ht="14.45" customHeight="1" x14ac:dyDescent="0.2">
      <c r="A262" s="715" t="s">
        <v>518</v>
      </c>
      <c r="B262" s="716" t="s">
        <v>519</v>
      </c>
      <c r="C262" s="717" t="s">
        <v>531</v>
      </c>
      <c r="D262" s="718" t="s">
        <v>532</v>
      </c>
      <c r="E262" s="717" t="s">
        <v>2355</v>
      </c>
      <c r="F262" s="718" t="s">
        <v>2356</v>
      </c>
      <c r="G262" s="717" t="s">
        <v>2470</v>
      </c>
      <c r="H262" s="717" t="s">
        <v>2480</v>
      </c>
      <c r="I262" s="720">
        <v>16.340000152587891</v>
      </c>
      <c r="J262" s="720">
        <v>12</v>
      </c>
      <c r="K262" s="721">
        <v>196.02000427246094</v>
      </c>
    </row>
    <row r="263" spans="1:11" ht="14.45" customHeight="1" x14ac:dyDescent="0.2">
      <c r="A263" s="715" t="s">
        <v>518</v>
      </c>
      <c r="B263" s="716" t="s">
        <v>519</v>
      </c>
      <c r="C263" s="717" t="s">
        <v>531</v>
      </c>
      <c r="D263" s="718" t="s">
        <v>532</v>
      </c>
      <c r="E263" s="717" t="s">
        <v>2355</v>
      </c>
      <c r="F263" s="718" t="s">
        <v>2356</v>
      </c>
      <c r="G263" s="717" t="s">
        <v>2474</v>
      </c>
      <c r="H263" s="717" t="s">
        <v>2481</v>
      </c>
      <c r="I263" s="720">
        <v>22.989999771118164</v>
      </c>
      <c r="J263" s="720">
        <v>40</v>
      </c>
      <c r="K263" s="721">
        <v>919.5999755859375</v>
      </c>
    </row>
    <row r="264" spans="1:11" ht="14.45" customHeight="1" x14ac:dyDescent="0.2">
      <c r="A264" s="715" t="s">
        <v>518</v>
      </c>
      <c r="B264" s="716" t="s">
        <v>519</v>
      </c>
      <c r="C264" s="717" t="s">
        <v>531</v>
      </c>
      <c r="D264" s="718" t="s">
        <v>532</v>
      </c>
      <c r="E264" s="717" t="s">
        <v>2355</v>
      </c>
      <c r="F264" s="718" t="s">
        <v>2356</v>
      </c>
      <c r="G264" s="717" t="s">
        <v>2476</v>
      </c>
      <c r="H264" s="717" t="s">
        <v>2482</v>
      </c>
      <c r="I264" s="720">
        <v>22.989999771118164</v>
      </c>
      <c r="J264" s="720">
        <v>30</v>
      </c>
      <c r="K264" s="721">
        <v>689.70001220703125</v>
      </c>
    </row>
    <row r="265" spans="1:11" ht="14.45" customHeight="1" x14ac:dyDescent="0.2">
      <c r="A265" s="715" t="s">
        <v>518</v>
      </c>
      <c r="B265" s="716" t="s">
        <v>519</v>
      </c>
      <c r="C265" s="717" t="s">
        <v>531</v>
      </c>
      <c r="D265" s="718" t="s">
        <v>532</v>
      </c>
      <c r="E265" s="717" t="s">
        <v>2355</v>
      </c>
      <c r="F265" s="718" t="s">
        <v>2356</v>
      </c>
      <c r="G265" s="717" t="s">
        <v>2478</v>
      </c>
      <c r="H265" s="717" t="s">
        <v>2483</v>
      </c>
      <c r="I265" s="720">
        <v>22.989999771118164</v>
      </c>
      <c r="J265" s="720">
        <v>10</v>
      </c>
      <c r="K265" s="721">
        <v>229.89999389648438</v>
      </c>
    </row>
    <row r="266" spans="1:11" ht="14.45" customHeight="1" x14ac:dyDescent="0.2">
      <c r="A266" s="715" t="s">
        <v>518</v>
      </c>
      <c r="B266" s="716" t="s">
        <v>519</v>
      </c>
      <c r="C266" s="717" t="s">
        <v>531</v>
      </c>
      <c r="D266" s="718" t="s">
        <v>532</v>
      </c>
      <c r="E266" s="717" t="s">
        <v>2355</v>
      </c>
      <c r="F266" s="718" t="s">
        <v>2356</v>
      </c>
      <c r="G266" s="717" t="s">
        <v>2484</v>
      </c>
      <c r="H266" s="717" t="s">
        <v>2485</v>
      </c>
      <c r="I266" s="720">
        <v>4.028571605682373</v>
      </c>
      <c r="J266" s="720">
        <v>2250</v>
      </c>
      <c r="K266" s="721">
        <v>9066.5</v>
      </c>
    </row>
    <row r="267" spans="1:11" ht="14.45" customHeight="1" x14ac:dyDescent="0.2">
      <c r="A267" s="715" t="s">
        <v>518</v>
      </c>
      <c r="B267" s="716" t="s">
        <v>519</v>
      </c>
      <c r="C267" s="717" t="s">
        <v>531</v>
      </c>
      <c r="D267" s="718" t="s">
        <v>532</v>
      </c>
      <c r="E267" s="717" t="s">
        <v>2355</v>
      </c>
      <c r="F267" s="718" t="s">
        <v>2356</v>
      </c>
      <c r="G267" s="717" t="s">
        <v>2486</v>
      </c>
      <c r="H267" s="717" t="s">
        <v>2487</v>
      </c>
      <c r="I267" s="720">
        <v>103.15500259399414</v>
      </c>
      <c r="J267" s="720">
        <v>20</v>
      </c>
      <c r="K267" s="721">
        <v>2063.080078125</v>
      </c>
    </row>
    <row r="268" spans="1:11" ht="14.45" customHeight="1" x14ac:dyDescent="0.2">
      <c r="A268" s="715" t="s">
        <v>518</v>
      </c>
      <c r="B268" s="716" t="s">
        <v>519</v>
      </c>
      <c r="C268" s="717" t="s">
        <v>531</v>
      </c>
      <c r="D268" s="718" t="s">
        <v>532</v>
      </c>
      <c r="E268" s="717" t="s">
        <v>2355</v>
      </c>
      <c r="F268" s="718" t="s">
        <v>2356</v>
      </c>
      <c r="G268" s="717" t="s">
        <v>2484</v>
      </c>
      <c r="H268" s="717" t="s">
        <v>2488</v>
      </c>
      <c r="I268" s="720">
        <v>4.0300002098083496</v>
      </c>
      <c r="J268" s="720">
        <v>1950</v>
      </c>
      <c r="K268" s="721">
        <v>7858.5</v>
      </c>
    </row>
    <row r="269" spans="1:11" ht="14.45" customHeight="1" x14ac:dyDescent="0.2">
      <c r="A269" s="715" t="s">
        <v>518</v>
      </c>
      <c r="B269" s="716" t="s">
        <v>519</v>
      </c>
      <c r="C269" s="717" t="s">
        <v>531</v>
      </c>
      <c r="D269" s="718" t="s">
        <v>532</v>
      </c>
      <c r="E269" s="717" t="s">
        <v>2355</v>
      </c>
      <c r="F269" s="718" t="s">
        <v>2356</v>
      </c>
      <c r="G269" s="717" t="s">
        <v>2486</v>
      </c>
      <c r="H269" s="717" t="s">
        <v>2489</v>
      </c>
      <c r="I269" s="720">
        <v>103.16999816894531</v>
      </c>
      <c r="J269" s="720">
        <v>30</v>
      </c>
      <c r="K269" s="721">
        <v>3095</v>
      </c>
    </row>
    <row r="270" spans="1:11" ht="14.45" customHeight="1" x14ac:dyDescent="0.2">
      <c r="A270" s="715" t="s">
        <v>518</v>
      </c>
      <c r="B270" s="716" t="s">
        <v>519</v>
      </c>
      <c r="C270" s="717" t="s">
        <v>531</v>
      </c>
      <c r="D270" s="718" t="s">
        <v>532</v>
      </c>
      <c r="E270" s="717" t="s">
        <v>2355</v>
      </c>
      <c r="F270" s="718" t="s">
        <v>2356</v>
      </c>
      <c r="G270" s="717" t="s">
        <v>2490</v>
      </c>
      <c r="H270" s="717" t="s">
        <v>2491</v>
      </c>
      <c r="I270" s="720">
        <v>7.8683332602183027</v>
      </c>
      <c r="J270" s="720">
        <v>2500</v>
      </c>
      <c r="K270" s="721">
        <v>19671.999954223633</v>
      </c>
    </row>
    <row r="271" spans="1:11" ht="14.45" customHeight="1" x14ac:dyDescent="0.2">
      <c r="A271" s="715" t="s">
        <v>518</v>
      </c>
      <c r="B271" s="716" t="s">
        <v>519</v>
      </c>
      <c r="C271" s="717" t="s">
        <v>531</v>
      </c>
      <c r="D271" s="718" t="s">
        <v>532</v>
      </c>
      <c r="E271" s="717" t="s">
        <v>2355</v>
      </c>
      <c r="F271" s="718" t="s">
        <v>2356</v>
      </c>
      <c r="G271" s="717" t="s">
        <v>2490</v>
      </c>
      <c r="H271" s="717" t="s">
        <v>2492</v>
      </c>
      <c r="I271" s="720">
        <v>8.6666665871938076</v>
      </c>
      <c r="J271" s="720">
        <v>2400</v>
      </c>
      <c r="K271" s="721">
        <v>20799</v>
      </c>
    </row>
    <row r="272" spans="1:11" ht="14.45" customHeight="1" x14ac:dyDescent="0.2">
      <c r="A272" s="715" t="s">
        <v>518</v>
      </c>
      <c r="B272" s="716" t="s">
        <v>519</v>
      </c>
      <c r="C272" s="717" t="s">
        <v>531</v>
      </c>
      <c r="D272" s="718" t="s">
        <v>532</v>
      </c>
      <c r="E272" s="717" t="s">
        <v>2355</v>
      </c>
      <c r="F272" s="718" t="s">
        <v>2356</v>
      </c>
      <c r="G272" s="717" t="s">
        <v>2493</v>
      </c>
      <c r="H272" s="717" t="s">
        <v>2494</v>
      </c>
      <c r="I272" s="720">
        <v>171.69000244140625</v>
      </c>
      <c r="J272" s="720">
        <v>80</v>
      </c>
      <c r="K272" s="721">
        <v>13734.9599609375</v>
      </c>
    </row>
    <row r="273" spans="1:11" ht="14.45" customHeight="1" x14ac:dyDescent="0.2">
      <c r="A273" s="715" t="s">
        <v>518</v>
      </c>
      <c r="B273" s="716" t="s">
        <v>519</v>
      </c>
      <c r="C273" s="717" t="s">
        <v>531</v>
      </c>
      <c r="D273" s="718" t="s">
        <v>532</v>
      </c>
      <c r="E273" s="717" t="s">
        <v>2355</v>
      </c>
      <c r="F273" s="718" t="s">
        <v>2356</v>
      </c>
      <c r="G273" s="717" t="s">
        <v>2493</v>
      </c>
      <c r="H273" s="717" t="s">
        <v>2495</v>
      </c>
      <c r="I273" s="720">
        <v>171.69000244140625</v>
      </c>
      <c r="J273" s="720">
        <v>40</v>
      </c>
      <c r="K273" s="721">
        <v>6867.4599609375</v>
      </c>
    </row>
    <row r="274" spans="1:11" ht="14.45" customHeight="1" x14ac:dyDescent="0.2">
      <c r="A274" s="715" t="s">
        <v>518</v>
      </c>
      <c r="B274" s="716" t="s">
        <v>519</v>
      </c>
      <c r="C274" s="717" t="s">
        <v>531</v>
      </c>
      <c r="D274" s="718" t="s">
        <v>532</v>
      </c>
      <c r="E274" s="717" t="s">
        <v>2355</v>
      </c>
      <c r="F274" s="718" t="s">
        <v>2356</v>
      </c>
      <c r="G274" s="717" t="s">
        <v>2496</v>
      </c>
      <c r="H274" s="717" t="s">
        <v>2497</v>
      </c>
      <c r="I274" s="720">
        <v>10.074999809265137</v>
      </c>
      <c r="J274" s="720">
        <v>60</v>
      </c>
      <c r="K274" s="721">
        <v>604.5</v>
      </c>
    </row>
    <row r="275" spans="1:11" ht="14.45" customHeight="1" x14ac:dyDescent="0.2">
      <c r="A275" s="715" t="s">
        <v>518</v>
      </c>
      <c r="B275" s="716" t="s">
        <v>519</v>
      </c>
      <c r="C275" s="717" t="s">
        <v>531</v>
      </c>
      <c r="D275" s="718" t="s">
        <v>532</v>
      </c>
      <c r="E275" s="717" t="s">
        <v>2355</v>
      </c>
      <c r="F275" s="718" t="s">
        <v>2356</v>
      </c>
      <c r="G275" s="717" t="s">
        <v>2496</v>
      </c>
      <c r="H275" s="717" t="s">
        <v>2498</v>
      </c>
      <c r="I275" s="720">
        <v>10.073333104451498</v>
      </c>
      <c r="J275" s="720">
        <v>120</v>
      </c>
      <c r="K275" s="721">
        <v>1208.760009765625</v>
      </c>
    </row>
    <row r="276" spans="1:11" ht="14.45" customHeight="1" x14ac:dyDescent="0.2">
      <c r="A276" s="715" t="s">
        <v>518</v>
      </c>
      <c r="B276" s="716" t="s">
        <v>519</v>
      </c>
      <c r="C276" s="717" t="s">
        <v>531</v>
      </c>
      <c r="D276" s="718" t="s">
        <v>532</v>
      </c>
      <c r="E276" s="717" t="s">
        <v>2355</v>
      </c>
      <c r="F276" s="718" t="s">
        <v>2356</v>
      </c>
      <c r="G276" s="717" t="s">
        <v>2499</v>
      </c>
      <c r="H276" s="717" t="s">
        <v>2500</v>
      </c>
      <c r="I276" s="720">
        <v>10.079999923706055</v>
      </c>
      <c r="J276" s="720">
        <v>90</v>
      </c>
      <c r="K276" s="721">
        <v>906.780029296875</v>
      </c>
    </row>
    <row r="277" spans="1:11" ht="14.45" customHeight="1" x14ac:dyDescent="0.2">
      <c r="A277" s="715" t="s">
        <v>518</v>
      </c>
      <c r="B277" s="716" t="s">
        <v>519</v>
      </c>
      <c r="C277" s="717" t="s">
        <v>531</v>
      </c>
      <c r="D277" s="718" t="s">
        <v>532</v>
      </c>
      <c r="E277" s="717" t="s">
        <v>2355</v>
      </c>
      <c r="F277" s="718" t="s">
        <v>2356</v>
      </c>
      <c r="G277" s="717" t="s">
        <v>2501</v>
      </c>
      <c r="H277" s="717" t="s">
        <v>2502</v>
      </c>
      <c r="I277" s="720">
        <v>3.869999885559082</v>
      </c>
      <c r="J277" s="720">
        <v>1500</v>
      </c>
      <c r="K277" s="721">
        <v>5808</v>
      </c>
    </row>
    <row r="278" spans="1:11" ht="14.45" customHeight="1" x14ac:dyDescent="0.2">
      <c r="A278" s="715" t="s">
        <v>518</v>
      </c>
      <c r="B278" s="716" t="s">
        <v>519</v>
      </c>
      <c r="C278" s="717" t="s">
        <v>531</v>
      </c>
      <c r="D278" s="718" t="s">
        <v>532</v>
      </c>
      <c r="E278" s="717" t="s">
        <v>2355</v>
      </c>
      <c r="F278" s="718" t="s">
        <v>2356</v>
      </c>
      <c r="G278" s="717" t="s">
        <v>2501</v>
      </c>
      <c r="H278" s="717" t="s">
        <v>2503</v>
      </c>
      <c r="I278" s="720">
        <v>3.869999885559082</v>
      </c>
      <c r="J278" s="720">
        <v>1400</v>
      </c>
      <c r="K278" s="721">
        <v>5420.800048828125</v>
      </c>
    </row>
    <row r="279" spans="1:11" ht="14.45" customHeight="1" x14ac:dyDescent="0.2">
      <c r="A279" s="715" t="s">
        <v>518</v>
      </c>
      <c r="B279" s="716" t="s">
        <v>519</v>
      </c>
      <c r="C279" s="717" t="s">
        <v>531</v>
      </c>
      <c r="D279" s="718" t="s">
        <v>532</v>
      </c>
      <c r="E279" s="717" t="s">
        <v>2355</v>
      </c>
      <c r="F279" s="718" t="s">
        <v>2356</v>
      </c>
      <c r="G279" s="717" t="s">
        <v>2504</v>
      </c>
      <c r="H279" s="717" t="s">
        <v>2505</v>
      </c>
      <c r="I279" s="720">
        <v>3.1600000858306885</v>
      </c>
      <c r="J279" s="720">
        <v>86</v>
      </c>
      <c r="K279" s="721">
        <v>271.38000106811523</v>
      </c>
    </row>
    <row r="280" spans="1:11" ht="14.45" customHeight="1" x14ac:dyDescent="0.2">
      <c r="A280" s="715" t="s">
        <v>518</v>
      </c>
      <c r="B280" s="716" t="s">
        <v>519</v>
      </c>
      <c r="C280" s="717" t="s">
        <v>531</v>
      </c>
      <c r="D280" s="718" t="s">
        <v>532</v>
      </c>
      <c r="E280" s="717" t="s">
        <v>2355</v>
      </c>
      <c r="F280" s="718" t="s">
        <v>2356</v>
      </c>
      <c r="G280" s="717" t="s">
        <v>2504</v>
      </c>
      <c r="H280" s="717" t="s">
        <v>2506</v>
      </c>
      <c r="I280" s="720">
        <v>3.1457143851688931</v>
      </c>
      <c r="J280" s="720">
        <v>130</v>
      </c>
      <c r="K280" s="721">
        <v>409.25</v>
      </c>
    </row>
    <row r="281" spans="1:11" ht="14.45" customHeight="1" x14ac:dyDescent="0.2">
      <c r="A281" s="715" t="s">
        <v>518</v>
      </c>
      <c r="B281" s="716" t="s">
        <v>519</v>
      </c>
      <c r="C281" s="717" t="s">
        <v>531</v>
      </c>
      <c r="D281" s="718" t="s">
        <v>532</v>
      </c>
      <c r="E281" s="717" t="s">
        <v>2355</v>
      </c>
      <c r="F281" s="718" t="s">
        <v>2356</v>
      </c>
      <c r="G281" s="717" t="s">
        <v>2507</v>
      </c>
      <c r="H281" s="717" t="s">
        <v>2508</v>
      </c>
      <c r="I281" s="720">
        <v>2.4200000762939453</v>
      </c>
      <c r="J281" s="720">
        <v>240</v>
      </c>
      <c r="K281" s="721">
        <v>580.79998779296875</v>
      </c>
    </row>
    <row r="282" spans="1:11" ht="14.45" customHeight="1" x14ac:dyDescent="0.2">
      <c r="A282" s="715" t="s">
        <v>518</v>
      </c>
      <c r="B282" s="716" t="s">
        <v>519</v>
      </c>
      <c r="C282" s="717" t="s">
        <v>531</v>
      </c>
      <c r="D282" s="718" t="s">
        <v>532</v>
      </c>
      <c r="E282" s="717" t="s">
        <v>2355</v>
      </c>
      <c r="F282" s="718" t="s">
        <v>2356</v>
      </c>
      <c r="G282" s="717" t="s">
        <v>2509</v>
      </c>
      <c r="H282" s="717" t="s">
        <v>2510</v>
      </c>
      <c r="I282" s="720">
        <v>338.79998779296875</v>
      </c>
      <c r="J282" s="720">
        <v>10</v>
      </c>
      <c r="K282" s="721">
        <v>3388</v>
      </c>
    </row>
    <row r="283" spans="1:11" ht="14.45" customHeight="1" x14ac:dyDescent="0.2">
      <c r="A283" s="715" t="s">
        <v>518</v>
      </c>
      <c r="B283" s="716" t="s">
        <v>519</v>
      </c>
      <c r="C283" s="717" t="s">
        <v>531</v>
      </c>
      <c r="D283" s="718" t="s">
        <v>532</v>
      </c>
      <c r="E283" s="717" t="s">
        <v>2355</v>
      </c>
      <c r="F283" s="718" t="s">
        <v>2356</v>
      </c>
      <c r="G283" s="717" t="s">
        <v>2511</v>
      </c>
      <c r="H283" s="717" t="s">
        <v>2512</v>
      </c>
      <c r="I283" s="720">
        <v>35.090000152587891</v>
      </c>
      <c r="J283" s="720">
        <v>5</v>
      </c>
      <c r="K283" s="721">
        <v>175.44999694824219</v>
      </c>
    </row>
    <row r="284" spans="1:11" ht="14.45" customHeight="1" x14ac:dyDescent="0.2">
      <c r="A284" s="715" t="s">
        <v>518</v>
      </c>
      <c r="B284" s="716" t="s">
        <v>519</v>
      </c>
      <c r="C284" s="717" t="s">
        <v>531</v>
      </c>
      <c r="D284" s="718" t="s">
        <v>532</v>
      </c>
      <c r="E284" s="717" t="s">
        <v>2355</v>
      </c>
      <c r="F284" s="718" t="s">
        <v>2356</v>
      </c>
      <c r="G284" s="717" t="s">
        <v>2513</v>
      </c>
      <c r="H284" s="717" t="s">
        <v>2514</v>
      </c>
      <c r="I284" s="720">
        <v>1149.5</v>
      </c>
      <c r="J284" s="720">
        <v>10</v>
      </c>
      <c r="K284" s="721">
        <v>11495</v>
      </c>
    </row>
    <row r="285" spans="1:11" ht="14.45" customHeight="1" x14ac:dyDescent="0.2">
      <c r="A285" s="715" t="s">
        <v>518</v>
      </c>
      <c r="B285" s="716" t="s">
        <v>519</v>
      </c>
      <c r="C285" s="717" t="s">
        <v>531</v>
      </c>
      <c r="D285" s="718" t="s">
        <v>532</v>
      </c>
      <c r="E285" s="717" t="s">
        <v>2355</v>
      </c>
      <c r="F285" s="718" t="s">
        <v>2356</v>
      </c>
      <c r="G285" s="717" t="s">
        <v>2515</v>
      </c>
      <c r="H285" s="717" t="s">
        <v>2516</v>
      </c>
      <c r="I285" s="720">
        <v>81.730003356933594</v>
      </c>
      <c r="J285" s="720">
        <v>20</v>
      </c>
      <c r="K285" s="721">
        <v>1634.5999755859375</v>
      </c>
    </row>
    <row r="286" spans="1:11" ht="14.45" customHeight="1" x14ac:dyDescent="0.2">
      <c r="A286" s="715" t="s">
        <v>518</v>
      </c>
      <c r="B286" s="716" t="s">
        <v>519</v>
      </c>
      <c r="C286" s="717" t="s">
        <v>531</v>
      </c>
      <c r="D286" s="718" t="s">
        <v>532</v>
      </c>
      <c r="E286" s="717" t="s">
        <v>2355</v>
      </c>
      <c r="F286" s="718" t="s">
        <v>2356</v>
      </c>
      <c r="G286" s="717" t="s">
        <v>2517</v>
      </c>
      <c r="H286" s="717" t="s">
        <v>2518</v>
      </c>
      <c r="I286" s="720">
        <v>80.574445088704422</v>
      </c>
      <c r="J286" s="720">
        <v>400</v>
      </c>
      <c r="K286" s="721">
        <v>32229.60009765625</v>
      </c>
    </row>
    <row r="287" spans="1:11" ht="14.45" customHeight="1" x14ac:dyDescent="0.2">
      <c r="A287" s="715" t="s">
        <v>518</v>
      </c>
      <c r="B287" s="716" t="s">
        <v>519</v>
      </c>
      <c r="C287" s="717" t="s">
        <v>531</v>
      </c>
      <c r="D287" s="718" t="s">
        <v>532</v>
      </c>
      <c r="E287" s="717" t="s">
        <v>2355</v>
      </c>
      <c r="F287" s="718" t="s">
        <v>2356</v>
      </c>
      <c r="G287" s="717" t="s">
        <v>2519</v>
      </c>
      <c r="H287" s="717" t="s">
        <v>2520</v>
      </c>
      <c r="I287" s="720">
        <v>39.930000305175781</v>
      </c>
      <c r="J287" s="720">
        <v>80</v>
      </c>
      <c r="K287" s="721">
        <v>3194.39990234375</v>
      </c>
    </row>
    <row r="288" spans="1:11" ht="14.45" customHeight="1" x14ac:dyDescent="0.2">
      <c r="A288" s="715" t="s">
        <v>518</v>
      </c>
      <c r="B288" s="716" t="s">
        <v>519</v>
      </c>
      <c r="C288" s="717" t="s">
        <v>531</v>
      </c>
      <c r="D288" s="718" t="s">
        <v>532</v>
      </c>
      <c r="E288" s="717" t="s">
        <v>2355</v>
      </c>
      <c r="F288" s="718" t="s">
        <v>2356</v>
      </c>
      <c r="G288" s="717" t="s">
        <v>2521</v>
      </c>
      <c r="H288" s="717" t="s">
        <v>2522</v>
      </c>
      <c r="I288" s="720">
        <v>102.84999847412109</v>
      </c>
      <c r="J288" s="720">
        <v>70</v>
      </c>
      <c r="K288" s="721">
        <v>7199.4999008178711</v>
      </c>
    </row>
    <row r="289" spans="1:11" ht="14.45" customHeight="1" x14ac:dyDescent="0.2">
      <c r="A289" s="715" t="s">
        <v>518</v>
      </c>
      <c r="B289" s="716" t="s">
        <v>519</v>
      </c>
      <c r="C289" s="717" t="s">
        <v>531</v>
      </c>
      <c r="D289" s="718" t="s">
        <v>532</v>
      </c>
      <c r="E289" s="717" t="s">
        <v>2355</v>
      </c>
      <c r="F289" s="718" t="s">
        <v>2356</v>
      </c>
      <c r="G289" s="717" t="s">
        <v>2513</v>
      </c>
      <c r="H289" s="717" t="s">
        <v>2523</v>
      </c>
      <c r="I289" s="720">
        <v>1149.5</v>
      </c>
      <c r="J289" s="720">
        <v>3</v>
      </c>
      <c r="K289" s="721">
        <v>3448.5</v>
      </c>
    </row>
    <row r="290" spans="1:11" ht="14.45" customHeight="1" x14ac:dyDescent="0.2">
      <c r="A290" s="715" t="s">
        <v>518</v>
      </c>
      <c r="B290" s="716" t="s">
        <v>519</v>
      </c>
      <c r="C290" s="717" t="s">
        <v>531</v>
      </c>
      <c r="D290" s="718" t="s">
        <v>532</v>
      </c>
      <c r="E290" s="717" t="s">
        <v>2355</v>
      </c>
      <c r="F290" s="718" t="s">
        <v>2356</v>
      </c>
      <c r="G290" s="717" t="s">
        <v>2517</v>
      </c>
      <c r="H290" s="717" t="s">
        <v>2524</v>
      </c>
      <c r="I290" s="720">
        <v>80.578334808349609</v>
      </c>
      <c r="J290" s="720">
        <v>480</v>
      </c>
      <c r="K290" s="721">
        <v>38677.599365234375</v>
      </c>
    </row>
    <row r="291" spans="1:11" ht="14.45" customHeight="1" x14ac:dyDescent="0.2">
      <c r="A291" s="715" t="s">
        <v>518</v>
      </c>
      <c r="B291" s="716" t="s">
        <v>519</v>
      </c>
      <c r="C291" s="717" t="s">
        <v>531</v>
      </c>
      <c r="D291" s="718" t="s">
        <v>532</v>
      </c>
      <c r="E291" s="717" t="s">
        <v>2355</v>
      </c>
      <c r="F291" s="718" t="s">
        <v>2356</v>
      </c>
      <c r="G291" s="717" t="s">
        <v>2519</v>
      </c>
      <c r="H291" s="717" t="s">
        <v>2525</v>
      </c>
      <c r="I291" s="720">
        <v>39.930000305175781</v>
      </c>
      <c r="J291" s="720">
        <v>200</v>
      </c>
      <c r="K291" s="721">
        <v>7985.999755859375</v>
      </c>
    </row>
    <row r="292" spans="1:11" ht="14.45" customHeight="1" x14ac:dyDescent="0.2">
      <c r="A292" s="715" t="s">
        <v>518</v>
      </c>
      <c r="B292" s="716" t="s">
        <v>519</v>
      </c>
      <c r="C292" s="717" t="s">
        <v>531</v>
      </c>
      <c r="D292" s="718" t="s">
        <v>532</v>
      </c>
      <c r="E292" s="717" t="s">
        <v>2355</v>
      </c>
      <c r="F292" s="718" t="s">
        <v>2356</v>
      </c>
      <c r="G292" s="717" t="s">
        <v>2521</v>
      </c>
      <c r="H292" s="717" t="s">
        <v>2526</v>
      </c>
      <c r="I292" s="720">
        <v>102.84999847412109</v>
      </c>
      <c r="J292" s="720">
        <v>80</v>
      </c>
      <c r="K292" s="721">
        <v>8228</v>
      </c>
    </row>
    <row r="293" spans="1:11" ht="14.45" customHeight="1" x14ac:dyDescent="0.2">
      <c r="A293" s="715" t="s">
        <v>518</v>
      </c>
      <c r="B293" s="716" t="s">
        <v>519</v>
      </c>
      <c r="C293" s="717" t="s">
        <v>531</v>
      </c>
      <c r="D293" s="718" t="s">
        <v>532</v>
      </c>
      <c r="E293" s="717" t="s">
        <v>2355</v>
      </c>
      <c r="F293" s="718" t="s">
        <v>2356</v>
      </c>
      <c r="G293" s="717" t="s">
        <v>2527</v>
      </c>
      <c r="H293" s="717" t="s">
        <v>2528</v>
      </c>
      <c r="I293" s="720">
        <v>0.25199999809265139</v>
      </c>
      <c r="J293" s="720">
        <v>800</v>
      </c>
      <c r="K293" s="721">
        <v>202</v>
      </c>
    </row>
    <row r="294" spans="1:11" ht="14.45" customHeight="1" x14ac:dyDescent="0.2">
      <c r="A294" s="715" t="s">
        <v>518</v>
      </c>
      <c r="B294" s="716" t="s">
        <v>519</v>
      </c>
      <c r="C294" s="717" t="s">
        <v>531</v>
      </c>
      <c r="D294" s="718" t="s">
        <v>532</v>
      </c>
      <c r="E294" s="717" t="s">
        <v>2355</v>
      </c>
      <c r="F294" s="718" t="s">
        <v>2356</v>
      </c>
      <c r="G294" s="717" t="s">
        <v>2527</v>
      </c>
      <c r="H294" s="717" t="s">
        <v>2529</v>
      </c>
      <c r="I294" s="720">
        <v>0.25166666507720947</v>
      </c>
      <c r="J294" s="720">
        <v>600</v>
      </c>
      <c r="K294" s="721">
        <v>151</v>
      </c>
    </row>
    <row r="295" spans="1:11" ht="14.45" customHeight="1" x14ac:dyDescent="0.2">
      <c r="A295" s="715" t="s">
        <v>518</v>
      </c>
      <c r="B295" s="716" t="s">
        <v>519</v>
      </c>
      <c r="C295" s="717" t="s">
        <v>531</v>
      </c>
      <c r="D295" s="718" t="s">
        <v>532</v>
      </c>
      <c r="E295" s="717" t="s">
        <v>2355</v>
      </c>
      <c r="F295" s="718" t="s">
        <v>2356</v>
      </c>
      <c r="G295" s="717" t="s">
        <v>2530</v>
      </c>
      <c r="H295" s="717" t="s">
        <v>2531</v>
      </c>
      <c r="I295" s="720">
        <v>105.02999877929688</v>
      </c>
      <c r="J295" s="720">
        <v>10</v>
      </c>
      <c r="K295" s="721">
        <v>1050.300048828125</v>
      </c>
    </row>
    <row r="296" spans="1:11" ht="14.45" customHeight="1" x14ac:dyDescent="0.2">
      <c r="A296" s="715" t="s">
        <v>518</v>
      </c>
      <c r="B296" s="716" t="s">
        <v>519</v>
      </c>
      <c r="C296" s="717" t="s">
        <v>531</v>
      </c>
      <c r="D296" s="718" t="s">
        <v>532</v>
      </c>
      <c r="E296" s="717" t="s">
        <v>2355</v>
      </c>
      <c r="F296" s="718" t="s">
        <v>2356</v>
      </c>
      <c r="G296" s="717" t="s">
        <v>2532</v>
      </c>
      <c r="H296" s="717" t="s">
        <v>2533</v>
      </c>
      <c r="I296" s="720">
        <v>154</v>
      </c>
      <c r="J296" s="720">
        <v>10</v>
      </c>
      <c r="K296" s="721">
        <v>1539.969970703125</v>
      </c>
    </row>
    <row r="297" spans="1:11" ht="14.45" customHeight="1" x14ac:dyDescent="0.2">
      <c r="A297" s="715" t="s">
        <v>518</v>
      </c>
      <c r="B297" s="716" t="s">
        <v>519</v>
      </c>
      <c r="C297" s="717" t="s">
        <v>531</v>
      </c>
      <c r="D297" s="718" t="s">
        <v>532</v>
      </c>
      <c r="E297" s="717" t="s">
        <v>2355</v>
      </c>
      <c r="F297" s="718" t="s">
        <v>2356</v>
      </c>
      <c r="G297" s="717" t="s">
        <v>2534</v>
      </c>
      <c r="H297" s="717" t="s">
        <v>2535</v>
      </c>
      <c r="I297" s="720">
        <v>145.19999694824219</v>
      </c>
      <c r="J297" s="720">
        <v>10</v>
      </c>
      <c r="K297" s="721">
        <v>1452</v>
      </c>
    </row>
    <row r="298" spans="1:11" ht="14.45" customHeight="1" x14ac:dyDescent="0.2">
      <c r="A298" s="715" t="s">
        <v>518</v>
      </c>
      <c r="B298" s="716" t="s">
        <v>519</v>
      </c>
      <c r="C298" s="717" t="s">
        <v>531</v>
      </c>
      <c r="D298" s="718" t="s">
        <v>532</v>
      </c>
      <c r="E298" s="717" t="s">
        <v>2355</v>
      </c>
      <c r="F298" s="718" t="s">
        <v>2356</v>
      </c>
      <c r="G298" s="717" t="s">
        <v>2536</v>
      </c>
      <c r="H298" s="717" t="s">
        <v>2537</v>
      </c>
      <c r="I298" s="720">
        <v>39.834445529513886</v>
      </c>
      <c r="J298" s="720">
        <v>1280</v>
      </c>
      <c r="K298" s="721">
        <v>50989.59912109375</v>
      </c>
    </row>
    <row r="299" spans="1:11" ht="14.45" customHeight="1" x14ac:dyDescent="0.2">
      <c r="A299" s="715" t="s">
        <v>518</v>
      </c>
      <c r="B299" s="716" t="s">
        <v>519</v>
      </c>
      <c r="C299" s="717" t="s">
        <v>531</v>
      </c>
      <c r="D299" s="718" t="s">
        <v>532</v>
      </c>
      <c r="E299" s="717" t="s">
        <v>2355</v>
      </c>
      <c r="F299" s="718" t="s">
        <v>2356</v>
      </c>
      <c r="G299" s="717" t="s">
        <v>2538</v>
      </c>
      <c r="H299" s="717" t="s">
        <v>2539</v>
      </c>
      <c r="I299" s="720">
        <v>393.25</v>
      </c>
      <c r="J299" s="720">
        <v>10</v>
      </c>
      <c r="K299" s="721">
        <v>3932.5</v>
      </c>
    </row>
    <row r="300" spans="1:11" ht="14.45" customHeight="1" x14ac:dyDescent="0.2">
      <c r="A300" s="715" t="s">
        <v>518</v>
      </c>
      <c r="B300" s="716" t="s">
        <v>519</v>
      </c>
      <c r="C300" s="717" t="s">
        <v>531</v>
      </c>
      <c r="D300" s="718" t="s">
        <v>532</v>
      </c>
      <c r="E300" s="717" t="s">
        <v>2355</v>
      </c>
      <c r="F300" s="718" t="s">
        <v>2356</v>
      </c>
      <c r="G300" s="717" t="s">
        <v>2540</v>
      </c>
      <c r="H300" s="717" t="s">
        <v>2541</v>
      </c>
      <c r="I300" s="720">
        <v>2400.639892578125</v>
      </c>
      <c r="J300" s="720">
        <v>1</v>
      </c>
      <c r="K300" s="721">
        <v>2400.639892578125</v>
      </c>
    </row>
    <row r="301" spans="1:11" ht="14.45" customHeight="1" x14ac:dyDescent="0.2">
      <c r="A301" s="715" t="s">
        <v>518</v>
      </c>
      <c r="B301" s="716" t="s">
        <v>519</v>
      </c>
      <c r="C301" s="717" t="s">
        <v>531</v>
      </c>
      <c r="D301" s="718" t="s">
        <v>532</v>
      </c>
      <c r="E301" s="717" t="s">
        <v>2355</v>
      </c>
      <c r="F301" s="718" t="s">
        <v>2356</v>
      </c>
      <c r="G301" s="717" t="s">
        <v>2542</v>
      </c>
      <c r="H301" s="717" t="s">
        <v>2543</v>
      </c>
      <c r="I301" s="720">
        <v>302.5</v>
      </c>
      <c r="J301" s="720">
        <v>5</v>
      </c>
      <c r="K301" s="721">
        <v>1512.5</v>
      </c>
    </row>
    <row r="302" spans="1:11" ht="14.45" customHeight="1" x14ac:dyDescent="0.2">
      <c r="A302" s="715" t="s">
        <v>518</v>
      </c>
      <c r="B302" s="716" t="s">
        <v>519</v>
      </c>
      <c r="C302" s="717" t="s">
        <v>531</v>
      </c>
      <c r="D302" s="718" t="s">
        <v>532</v>
      </c>
      <c r="E302" s="717" t="s">
        <v>2355</v>
      </c>
      <c r="F302" s="718" t="s">
        <v>2356</v>
      </c>
      <c r="G302" s="717" t="s">
        <v>2544</v>
      </c>
      <c r="H302" s="717" t="s">
        <v>2545</v>
      </c>
      <c r="I302" s="720">
        <v>302.5</v>
      </c>
      <c r="J302" s="720">
        <v>5</v>
      </c>
      <c r="K302" s="721">
        <v>1512.5</v>
      </c>
    </row>
    <row r="303" spans="1:11" ht="14.45" customHeight="1" x14ac:dyDescent="0.2">
      <c r="A303" s="715" t="s">
        <v>518</v>
      </c>
      <c r="B303" s="716" t="s">
        <v>519</v>
      </c>
      <c r="C303" s="717" t="s">
        <v>531</v>
      </c>
      <c r="D303" s="718" t="s">
        <v>532</v>
      </c>
      <c r="E303" s="717" t="s">
        <v>2355</v>
      </c>
      <c r="F303" s="718" t="s">
        <v>2356</v>
      </c>
      <c r="G303" s="717" t="s">
        <v>2546</v>
      </c>
      <c r="H303" s="717" t="s">
        <v>2547</v>
      </c>
      <c r="I303" s="720">
        <v>375.10000610351563</v>
      </c>
      <c r="J303" s="720">
        <v>5</v>
      </c>
      <c r="K303" s="721">
        <v>1875.5</v>
      </c>
    </row>
    <row r="304" spans="1:11" ht="14.45" customHeight="1" x14ac:dyDescent="0.2">
      <c r="A304" s="715" t="s">
        <v>518</v>
      </c>
      <c r="B304" s="716" t="s">
        <v>519</v>
      </c>
      <c r="C304" s="717" t="s">
        <v>531</v>
      </c>
      <c r="D304" s="718" t="s">
        <v>532</v>
      </c>
      <c r="E304" s="717" t="s">
        <v>2355</v>
      </c>
      <c r="F304" s="718" t="s">
        <v>2356</v>
      </c>
      <c r="G304" s="717" t="s">
        <v>2548</v>
      </c>
      <c r="H304" s="717" t="s">
        <v>2549</v>
      </c>
      <c r="I304" s="720">
        <v>27.100000381469727</v>
      </c>
      <c r="J304" s="720">
        <v>60</v>
      </c>
      <c r="K304" s="721">
        <v>1626.2400512695313</v>
      </c>
    </row>
    <row r="305" spans="1:11" ht="14.45" customHeight="1" x14ac:dyDescent="0.2">
      <c r="A305" s="715" t="s">
        <v>518</v>
      </c>
      <c r="B305" s="716" t="s">
        <v>519</v>
      </c>
      <c r="C305" s="717" t="s">
        <v>531</v>
      </c>
      <c r="D305" s="718" t="s">
        <v>532</v>
      </c>
      <c r="E305" s="717" t="s">
        <v>2355</v>
      </c>
      <c r="F305" s="718" t="s">
        <v>2356</v>
      </c>
      <c r="G305" s="717" t="s">
        <v>2550</v>
      </c>
      <c r="H305" s="717" t="s">
        <v>2551</v>
      </c>
      <c r="I305" s="720">
        <v>393.25</v>
      </c>
      <c r="J305" s="720">
        <v>10</v>
      </c>
      <c r="K305" s="721">
        <v>3932.5</v>
      </c>
    </row>
    <row r="306" spans="1:11" ht="14.45" customHeight="1" x14ac:dyDescent="0.2">
      <c r="A306" s="715" t="s">
        <v>518</v>
      </c>
      <c r="B306" s="716" t="s">
        <v>519</v>
      </c>
      <c r="C306" s="717" t="s">
        <v>531</v>
      </c>
      <c r="D306" s="718" t="s">
        <v>532</v>
      </c>
      <c r="E306" s="717" t="s">
        <v>2355</v>
      </c>
      <c r="F306" s="718" t="s">
        <v>2356</v>
      </c>
      <c r="G306" s="717" t="s">
        <v>2544</v>
      </c>
      <c r="H306" s="717" t="s">
        <v>2552</v>
      </c>
      <c r="I306" s="720">
        <v>302.60000610351563</v>
      </c>
      <c r="J306" s="720">
        <v>5</v>
      </c>
      <c r="K306" s="721">
        <v>1513</v>
      </c>
    </row>
    <row r="307" spans="1:11" ht="14.45" customHeight="1" x14ac:dyDescent="0.2">
      <c r="A307" s="715" t="s">
        <v>518</v>
      </c>
      <c r="B307" s="716" t="s">
        <v>519</v>
      </c>
      <c r="C307" s="717" t="s">
        <v>531</v>
      </c>
      <c r="D307" s="718" t="s">
        <v>532</v>
      </c>
      <c r="E307" s="717" t="s">
        <v>2355</v>
      </c>
      <c r="F307" s="718" t="s">
        <v>2356</v>
      </c>
      <c r="G307" s="717" t="s">
        <v>2553</v>
      </c>
      <c r="H307" s="717" t="s">
        <v>2554</v>
      </c>
      <c r="I307" s="720">
        <v>25.290000915527344</v>
      </c>
      <c r="J307" s="720">
        <v>350</v>
      </c>
      <c r="K307" s="721">
        <v>8851.149658203125</v>
      </c>
    </row>
    <row r="308" spans="1:11" ht="14.45" customHeight="1" x14ac:dyDescent="0.2">
      <c r="A308" s="715" t="s">
        <v>518</v>
      </c>
      <c r="B308" s="716" t="s">
        <v>519</v>
      </c>
      <c r="C308" s="717" t="s">
        <v>531</v>
      </c>
      <c r="D308" s="718" t="s">
        <v>532</v>
      </c>
      <c r="E308" s="717" t="s">
        <v>2355</v>
      </c>
      <c r="F308" s="718" t="s">
        <v>2356</v>
      </c>
      <c r="G308" s="717" t="s">
        <v>2553</v>
      </c>
      <c r="H308" s="717" t="s">
        <v>2555</v>
      </c>
      <c r="I308" s="720">
        <v>23.313334147135418</v>
      </c>
      <c r="J308" s="720">
        <v>700</v>
      </c>
      <c r="K308" s="721">
        <v>16812.949462890625</v>
      </c>
    </row>
    <row r="309" spans="1:11" ht="14.45" customHeight="1" x14ac:dyDescent="0.2">
      <c r="A309" s="715" t="s">
        <v>518</v>
      </c>
      <c r="B309" s="716" t="s">
        <v>519</v>
      </c>
      <c r="C309" s="717" t="s">
        <v>531</v>
      </c>
      <c r="D309" s="718" t="s">
        <v>532</v>
      </c>
      <c r="E309" s="717" t="s">
        <v>2355</v>
      </c>
      <c r="F309" s="718" t="s">
        <v>2356</v>
      </c>
      <c r="G309" s="717" t="s">
        <v>2556</v>
      </c>
      <c r="H309" s="717" t="s">
        <v>2557</v>
      </c>
      <c r="I309" s="720">
        <v>33.520000457763672</v>
      </c>
      <c r="J309" s="720">
        <v>10</v>
      </c>
      <c r="K309" s="721">
        <v>335.17001342773438</v>
      </c>
    </row>
    <row r="310" spans="1:11" ht="14.45" customHeight="1" x14ac:dyDescent="0.2">
      <c r="A310" s="715" t="s">
        <v>518</v>
      </c>
      <c r="B310" s="716" t="s">
        <v>519</v>
      </c>
      <c r="C310" s="717" t="s">
        <v>531</v>
      </c>
      <c r="D310" s="718" t="s">
        <v>532</v>
      </c>
      <c r="E310" s="717" t="s">
        <v>2355</v>
      </c>
      <c r="F310" s="718" t="s">
        <v>2356</v>
      </c>
      <c r="G310" s="717" t="s">
        <v>2536</v>
      </c>
      <c r="H310" s="717" t="s">
        <v>2558</v>
      </c>
      <c r="I310" s="720">
        <v>39.835000991821289</v>
      </c>
      <c r="J310" s="720">
        <v>1240</v>
      </c>
      <c r="K310" s="721">
        <v>49394.799560546875</v>
      </c>
    </row>
    <row r="311" spans="1:11" ht="14.45" customHeight="1" x14ac:dyDescent="0.2">
      <c r="A311" s="715" t="s">
        <v>518</v>
      </c>
      <c r="B311" s="716" t="s">
        <v>519</v>
      </c>
      <c r="C311" s="717" t="s">
        <v>531</v>
      </c>
      <c r="D311" s="718" t="s">
        <v>532</v>
      </c>
      <c r="E311" s="717" t="s">
        <v>2355</v>
      </c>
      <c r="F311" s="718" t="s">
        <v>2356</v>
      </c>
      <c r="G311" s="717" t="s">
        <v>2559</v>
      </c>
      <c r="H311" s="717" t="s">
        <v>2560</v>
      </c>
      <c r="I311" s="720">
        <v>58.914999008178711</v>
      </c>
      <c r="J311" s="720">
        <v>100</v>
      </c>
      <c r="K311" s="721">
        <v>5891.489990234375</v>
      </c>
    </row>
    <row r="312" spans="1:11" ht="14.45" customHeight="1" x14ac:dyDescent="0.2">
      <c r="A312" s="715" t="s">
        <v>518</v>
      </c>
      <c r="B312" s="716" t="s">
        <v>519</v>
      </c>
      <c r="C312" s="717" t="s">
        <v>531</v>
      </c>
      <c r="D312" s="718" t="s">
        <v>532</v>
      </c>
      <c r="E312" s="717" t="s">
        <v>2355</v>
      </c>
      <c r="F312" s="718" t="s">
        <v>2356</v>
      </c>
      <c r="G312" s="717" t="s">
        <v>2559</v>
      </c>
      <c r="H312" s="717" t="s">
        <v>2561</v>
      </c>
      <c r="I312" s="720">
        <v>58.917998504638675</v>
      </c>
      <c r="J312" s="720">
        <v>250</v>
      </c>
      <c r="K312" s="721">
        <v>14728.739990234375</v>
      </c>
    </row>
    <row r="313" spans="1:11" ht="14.45" customHeight="1" x14ac:dyDescent="0.2">
      <c r="A313" s="715" t="s">
        <v>518</v>
      </c>
      <c r="B313" s="716" t="s">
        <v>519</v>
      </c>
      <c r="C313" s="717" t="s">
        <v>531</v>
      </c>
      <c r="D313" s="718" t="s">
        <v>532</v>
      </c>
      <c r="E313" s="717" t="s">
        <v>2355</v>
      </c>
      <c r="F313" s="718" t="s">
        <v>2356</v>
      </c>
      <c r="G313" s="717" t="s">
        <v>2562</v>
      </c>
      <c r="H313" s="717" t="s">
        <v>2563</v>
      </c>
      <c r="I313" s="720">
        <v>1672.219970703125</v>
      </c>
      <c r="J313" s="720">
        <v>1</v>
      </c>
      <c r="K313" s="721">
        <v>1672.219970703125</v>
      </c>
    </row>
    <row r="314" spans="1:11" ht="14.45" customHeight="1" x14ac:dyDescent="0.2">
      <c r="A314" s="715" t="s">
        <v>518</v>
      </c>
      <c r="B314" s="716" t="s">
        <v>519</v>
      </c>
      <c r="C314" s="717" t="s">
        <v>531</v>
      </c>
      <c r="D314" s="718" t="s">
        <v>532</v>
      </c>
      <c r="E314" s="717" t="s">
        <v>2355</v>
      </c>
      <c r="F314" s="718" t="s">
        <v>2356</v>
      </c>
      <c r="G314" s="717" t="s">
        <v>2564</v>
      </c>
      <c r="H314" s="717" t="s">
        <v>2565</v>
      </c>
      <c r="I314" s="720">
        <v>4.9737498760223389</v>
      </c>
      <c r="J314" s="720">
        <v>240</v>
      </c>
      <c r="K314" s="721">
        <v>1193.6000061035156</v>
      </c>
    </row>
    <row r="315" spans="1:11" ht="14.45" customHeight="1" x14ac:dyDescent="0.2">
      <c r="A315" s="715" t="s">
        <v>518</v>
      </c>
      <c r="B315" s="716" t="s">
        <v>519</v>
      </c>
      <c r="C315" s="717" t="s">
        <v>531</v>
      </c>
      <c r="D315" s="718" t="s">
        <v>532</v>
      </c>
      <c r="E315" s="717" t="s">
        <v>2355</v>
      </c>
      <c r="F315" s="718" t="s">
        <v>2356</v>
      </c>
      <c r="G315" s="717" t="s">
        <v>2566</v>
      </c>
      <c r="H315" s="717" t="s">
        <v>2567</v>
      </c>
      <c r="I315" s="720">
        <v>25.535000801086426</v>
      </c>
      <c r="J315" s="720">
        <v>300</v>
      </c>
      <c r="K315" s="721">
        <v>7660.5999450683594</v>
      </c>
    </row>
    <row r="316" spans="1:11" ht="14.45" customHeight="1" x14ac:dyDescent="0.2">
      <c r="A316" s="715" t="s">
        <v>518</v>
      </c>
      <c r="B316" s="716" t="s">
        <v>519</v>
      </c>
      <c r="C316" s="717" t="s">
        <v>531</v>
      </c>
      <c r="D316" s="718" t="s">
        <v>532</v>
      </c>
      <c r="E316" s="717" t="s">
        <v>2355</v>
      </c>
      <c r="F316" s="718" t="s">
        <v>2356</v>
      </c>
      <c r="G316" s="717" t="s">
        <v>2564</v>
      </c>
      <c r="H316" s="717" t="s">
        <v>2568</v>
      </c>
      <c r="I316" s="720">
        <v>4.9549999237060547</v>
      </c>
      <c r="J316" s="720">
        <v>250</v>
      </c>
      <c r="K316" s="721">
        <v>1238.8999710083008</v>
      </c>
    </row>
    <row r="317" spans="1:11" ht="14.45" customHeight="1" x14ac:dyDescent="0.2">
      <c r="A317" s="715" t="s">
        <v>518</v>
      </c>
      <c r="B317" s="716" t="s">
        <v>519</v>
      </c>
      <c r="C317" s="717" t="s">
        <v>531</v>
      </c>
      <c r="D317" s="718" t="s">
        <v>532</v>
      </c>
      <c r="E317" s="717" t="s">
        <v>2355</v>
      </c>
      <c r="F317" s="718" t="s">
        <v>2356</v>
      </c>
      <c r="G317" s="717" t="s">
        <v>2569</v>
      </c>
      <c r="H317" s="717" t="s">
        <v>2570</v>
      </c>
      <c r="I317" s="720">
        <v>13.310000419616699</v>
      </c>
      <c r="J317" s="720">
        <v>60</v>
      </c>
      <c r="K317" s="721">
        <v>798.5999755859375</v>
      </c>
    </row>
    <row r="318" spans="1:11" ht="14.45" customHeight="1" x14ac:dyDescent="0.2">
      <c r="A318" s="715" t="s">
        <v>518</v>
      </c>
      <c r="B318" s="716" t="s">
        <v>519</v>
      </c>
      <c r="C318" s="717" t="s">
        <v>531</v>
      </c>
      <c r="D318" s="718" t="s">
        <v>532</v>
      </c>
      <c r="E318" s="717" t="s">
        <v>2355</v>
      </c>
      <c r="F318" s="718" t="s">
        <v>2356</v>
      </c>
      <c r="G318" s="717" t="s">
        <v>2566</v>
      </c>
      <c r="H318" s="717" t="s">
        <v>2571</v>
      </c>
      <c r="I318" s="720">
        <v>25.531667391459148</v>
      </c>
      <c r="J318" s="720">
        <v>210</v>
      </c>
      <c r="K318" s="721">
        <v>5361.7000732421875</v>
      </c>
    </row>
    <row r="319" spans="1:11" ht="14.45" customHeight="1" x14ac:dyDescent="0.2">
      <c r="A319" s="715" t="s">
        <v>518</v>
      </c>
      <c r="B319" s="716" t="s">
        <v>519</v>
      </c>
      <c r="C319" s="717" t="s">
        <v>531</v>
      </c>
      <c r="D319" s="718" t="s">
        <v>532</v>
      </c>
      <c r="E319" s="717" t="s">
        <v>2355</v>
      </c>
      <c r="F319" s="718" t="s">
        <v>2356</v>
      </c>
      <c r="G319" s="717" t="s">
        <v>2572</v>
      </c>
      <c r="H319" s="717" t="s">
        <v>2573</v>
      </c>
      <c r="I319" s="720">
        <v>311.69000244140625</v>
      </c>
      <c r="J319" s="720">
        <v>7</v>
      </c>
      <c r="K319" s="721">
        <v>2181.8299560546875</v>
      </c>
    </row>
    <row r="320" spans="1:11" ht="14.45" customHeight="1" x14ac:dyDescent="0.2">
      <c r="A320" s="715" t="s">
        <v>518</v>
      </c>
      <c r="B320" s="716" t="s">
        <v>519</v>
      </c>
      <c r="C320" s="717" t="s">
        <v>531</v>
      </c>
      <c r="D320" s="718" t="s">
        <v>532</v>
      </c>
      <c r="E320" s="717" t="s">
        <v>2355</v>
      </c>
      <c r="F320" s="718" t="s">
        <v>2356</v>
      </c>
      <c r="G320" s="717" t="s">
        <v>2574</v>
      </c>
      <c r="H320" s="717" t="s">
        <v>2575</v>
      </c>
      <c r="I320" s="720">
        <v>184.58499908447266</v>
      </c>
      <c r="J320" s="720">
        <v>8</v>
      </c>
      <c r="K320" s="721">
        <v>1476.6900024414063</v>
      </c>
    </row>
    <row r="321" spans="1:11" ht="14.45" customHeight="1" x14ac:dyDescent="0.2">
      <c r="A321" s="715" t="s">
        <v>518</v>
      </c>
      <c r="B321" s="716" t="s">
        <v>519</v>
      </c>
      <c r="C321" s="717" t="s">
        <v>531</v>
      </c>
      <c r="D321" s="718" t="s">
        <v>532</v>
      </c>
      <c r="E321" s="717" t="s">
        <v>2355</v>
      </c>
      <c r="F321" s="718" t="s">
        <v>2356</v>
      </c>
      <c r="G321" s="717" t="s">
        <v>2576</v>
      </c>
      <c r="H321" s="717" t="s">
        <v>2577</v>
      </c>
      <c r="I321" s="720">
        <v>214.02000427246094</v>
      </c>
      <c r="J321" s="720">
        <v>7</v>
      </c>
      <c r="K321" s="721">
        <v>1498.1399841308594</v>
      </c>
    </row>
    <row r="322" spans="1:11" ht="14.45" customHeight="1" x14ac:dyDescent="0.2">
      <c r="A322" s="715" t="s">
        <v>518</v>
      </c>
      <c r="B322" s="716" t="s">
        <v>519</v>
      </c>
      <c r="C322" s="717" t="s">
        <v>531</v>
      </c>
      <c r="D322" s="718" t="s">
        <v>532</v>
      </c>
      <c r="E322" s="717" t="s">
        <v>2355</v>
      </c>
      <c r="F322" s="718" t="s">
        <v>2356</v>
      </c>
      <c r="G322" s="717" t="s">
        <v>2578</v>
      </c>
      <c r="H322" s="717" t="s">
        <v>2579</v>
      </c>
      <c r="I322" s="720">
        <v>453.75</v>
      </c>
      <c r="J322" s="720">
        <v>15</v>
      </c>
      <c r="K322" s="721">
        <v>6824.3999633789063</v>
      </c>
    </row>
    <row r="323" spans="1:11" ht="14.45" customHeight="1" x14ac:dyDescent="0.2">
      <c r="A323" s="715" t="s">
        <v>518</v>
      </c>
      <c r="B323" s="716" t="s">
        <v>519</v>
      </c>
      <c r="C323" s="717" t="s">
        <v>531</v>
      </c>
      <c r="D323" s="718" t="s">
        <v>532</v>
      </c>
      <c r="E323" s="717" t="s">
        <v>2355</v>
      </c>
      <c r="F323" s="718" t="s">
        <v>2356</v>
      </c>
      <c r="G323" s="717" t="s">
        <v>2580</v>
      </c>
      <c r="H323" s="717" t="s">
        <v>2581</v>
      </c>
      <c r="I323" s="720">
        <v>30.25</v>
      </c>
      <c r="J323" s="720">
        <v>20</v>
      </c>
      <c r="K323" s="721">
        <v>605</v>
      </c>
    </row>
    <row r="324" spans="1:11" ht="14.45" customHeight="1" x14ac:dyDescent="0.2">
      <c r="A324" s="715" t="s">
        <v>518</v>
      </c>
      <c r="B324" s="716" t="s">
        <v>519</v>
      </c>
      <c r="C324" s="717" t="s">
        <v>531</v>
      </c>
      <c r="D324" s="718" t="s">
        <v>532</v>
      </c>
      <c r="E324" s="717" t="s">
        <v>2355</v>
      </c>
      <c r="F324" s="718" t="s">
        <v>2356</v>
      </c>
      <c r="G324" s="717" t="s">
        <v>2582</v>
      </c>
      <c r="H324" s="717" t="s">
        <v>2583</v>
      </c>
      <c r="I324" s="720">
        <v>34.990001678466797</v>
      </c>
      <c r="J324" s="720">
        <v>40</v>
      </c>
      <c r="K324" s="721">
        <v>1399.5199584960938</v>
      </c>
    </row>
    <row r="325" spans="1:11" ht="14.45" customHeight="1" x14ac:dyDescent="0.2">
      <c r="A325" s="715" t="s">
        <v>518</v>
      </c>
      <c r="B325" s="716" t="s">
        <v>519</v>
      </c>
      <c r="C325" s="717" t="s">
        <v>531</v>
      </c>
      <c r="D325" s="718" t="s">
        <v>532</v>
      </c>
      <c r="E325" s="717" t="s">
        <v>2355</v>
      </c>
      <c r="F325" s="718" t="s">
        <v>2356</v>
      </c>
      <c r="G325" s="717" t="s">
        <v>2584</v>
      </c>
      <c r="H325" s="717" t="s">
        <v>2585</v>
      </c>
      <c r="I325" s="720">
        <v>4.8933334350585938</v>
      </c>
      <c r="J325" s="720">
        <v>300</v>
      </c>
      <c r="K325" s="721">
        <v>1468.1700134277344</v>
      </c>
    </row>
    <row r="326" spans="1:11" ht="14.45" customHeight="1" x14ac:dyDescent="0.2">
      <c r="A326" s="715" t="s">
        <v>518</v>
      </c>
      <c r="B326" s="716" t="s">
        <v>519</v>
      </c>
      <c r="C326" s="717" t="s">
        <v>531</v>
      </c>
      <c r="D326" s="718" t="s">
        <v>532</v>
      </c>
      <c r="E326" s="717" t="s">
        <v>2355</v>
      </c>
      <c r="F326" s="718" t="s">
        <v>2356</v>
      </c>
      <c r="G326" s="717" t="s">
        <v>2586</v>
      </c>
      <c r="H326" s="717" t="s">
        <v>2587</v>
      </c>
      <c r="I326" s="720">
        <v>96.319999694824219</v>
      </c>
      <c r="J326" s="720">
        <v>36</v>
      </c>
      <c r="K326" s="721">
        <v>3467.3701171875</v>
      </c>
    </row>
    <row r="327" spans="1:11" ht="14.45" customHeight="1" x14ac:dyDescent="0.2">
      <c r="A327" s="715" t="s">
        <v>518</v>
      </c>
      <c r="B327" s="716" t="s">
        <v>519</v>
      </c>
      <c r="C327" s="717" t="s">
        <v>531</v>
      </c>
      <c r="D327" s="718" t="s">
        <v>532</v>
      </c>
      <c r="E327" s="717" t="s">
        <v>2355</v>
      </c>
      <c r="F327" s="718" t="s">
        <v>2356</v>
      </c>
      <c r="G327" s="717" t="s">
        <v>2588</v>
      </c>
      <c r="H327" s="717" t="s">
        <v>2589</v>
      </c>
      <c r="I327" s="720">
        <v>96.325000762939453</v>
      </c>
      <c r="J327" s="720">
        <v>24</v>
      </c>
      <c r="K327" s="721">
        <v>2311.7900390625</v>
      </c>
    </row>
    <row r="328" spans="1:11" ht="14.45" customHeight="1" x14ac:dyDescent="0.2">
      <c r="A328" s="715" t="s">
        <v>518</v>
      </c>
      <c r="B328" s="716" t="s">
        <v>519</v>
      </c>
      <c r="C328" s="717" t="s">
        <v>531</v>
      </c>
      <c r="D328" s="718" t="s">
        <v>532</v>
      </c>
      <c r="E328" s="717" t="s">
        <v>2355</v>
      </c>
      <c r="F328" s="718" t="s">
        <v>2356</v>
      </c>
      <c r="G328" s="717" t="s">
        <v>2590</v>
      </c>
      <c r="H328" s="717" t="s">
        <v>2591</v>
      </c>
      <c r="I328" s="720">
        <v>179.69000244140625</v>
      </c>
      <c r="J328" s="720">
        <v>4</v>
      </c>
      <c r="K328" s="721">
        <v>718.739990234375</v>
      </c>
    </row>
    <row r="329" spans="1:11" ht="14.45" customHeight="1" x14ac:dyDescent="0.2">
      <c r="A329" s="715" t="s">
        <v>518</v>
      </c>
      <c r="B329" s="716" t="s">
        <v>519</v>
      </c>
      <c r="C329" s="717" t="s">
        <v>531</v>
      </c>
      <c r="D329" s="718" t="s">
        <v>532</v>
      </c>
      <c r="E329" s="717" t="s">
        <v>2355</v>
      </c>
      <c r="F329" s="718" t="s">
        <v>2356</v>
      </c>
      <c r="G329" s="717" t="s">
        <v>2592</v>
      </c>
      <c r="H329" s="717" t="s">
        <v>2593</v>
      </c>
      <c r="I329" s="720">
        <v>3533.320068359375</v>
      </c>
      <c r="J329" s="720">
        <v>5</v>
      </c>
      <c r="K329" s="721">
        <v>17666.600341796875</v>
      </c>
    </row>
    <row r="330" spans="1:11" ht="14.45" customHeight="1" x14ac:dyDescent="0.2">
      <c r="A330" s="715" t="s">
        <v>518</v>
      </c>
      <c r="B330" s="716" t="s">
        <v>519</v>
      </c>
      <c r="C330" s="717" t="s">
        <v>531</v>
      </c>
      <c r="D330" s="718" t="s">
        <v>532</v>
      </c>
      <c r="E330" s="717" t="s">
        <v>2355</v>
      </c>
      <c r="F330" s="718" t="s">
        <v>2356</v>
      </c>
      <c r="G330" s="717" t="s">
        <v>2586</v>
      </c>
      <c r="H330" s="717" t="s">
        <v>2594</v>
      </c>
      <c r="I330" s="720">
        <v>96.310002136230466</v>
      </c>
      <c r="J330" s="720">
        <v>132</v>
      </c>
      <c r="K330" s="721">
        <v>12712.89013671875</v>
      </c>
    </row>
    <row r="331" spans="1:11" ht="14.45" customHeight="1" x14ac:dyDescent="0.2">
      <c r="A331" s="715" t="s">
        <v>518</v>
      </c>
      <c r="B331" s="716" t="s">
        <v>519</v>
      </c>
      <c r="C331" s="717" t="s">
        <v>531</v>
      </c>
      <c r="D331" s="718" t="s">
        <v>532</v>
      </c>
      <c r="E331" s="717" t="s">
        <v>2355</v>
      </c>
      <c r="F331" s="718" t="s">
        <v>2356</v>
      </c>
      <c r="G331" s="717" t="s">
        <v>2590</v>
      </c>
      <c r="H331" s="717" t="s">
        <v>2595</v>
      </c>
      <c r="I331" s="720">
        <v>179.69000244140625</v>
      </c>
      <c r="J331" s="720">
        <v>30</v>
      </c>
      <c r="K331" s="721">
        <v>5390.5499267578125</v>
      </c>
    </row>
    <row r="332" spans="1:11" ht="14.45" customHeight="1" x14ac:dyDescent="0.2">
      <c r="A332" s="715" t="s">
        <v>518</v>
      </c>
      <c r="B332" s="716" t="s">
        <v>519</v>
      </c>
      <c r="C332" s="717" t="s">
        <v>531</v>
      </c>
      <c r="D332" s="718" t="s">
        <v>532</v>
      </c>
      <c r="E332" s="717" t="s">
        <v>2355</v>
      </c>
      <c r="F332" s="718" t="s">
        <v>2356</v>
      </c>
      <c r="G332" s="717" t="s">
        <v>2592</v>
      </c>
      <c r="H332" s="717" t="s">
        <v>2596</v>
      </c>
      <c r="I332" s="720">
        <v>3533.320068359375</v>
      </c>
      <c r="J332" s="720">
        <v>4</v>
      </c>
      <c r="K332" s="721">
        <v>14133.2802734375</v>
      </c>
    </row>
    <row r="333" spans="1:11" ht="14.45" customHeight="1" x14ac:dyDescent="0.2">
      <c r="A333" s="715" t="s">
        <v>518</v>
      </c>
      <c r="B333" s="716" t="s">
        <v>519</v>
      </c>
      <c r="C333" s="717" t="s">
        <v>531</v>
      </c>
      <c r="D333" s="718" t="s">
        <v>532</v>
      </c>
      <c r="E333" s="717" t="s">
        <v>2355</v>
      </c>
      <c r="F333" s="718" t="s">
        <v>2356</v>
      </c>
      <c r="G333" s="717" t="s">
        <v>2597</v>
      </c>
      <c r="H333" s="717" t="s">
        <v>2598</v>
      </c>
      <c r="I333" s="720">
        <v>148.23500061035156</v>
      </c>
      <c r="J333" s="720">
        <v>6</v>
      </c>
      <c r="K333" s="721">
        <v>889.41000366210938</v>
      </c>
    </row>
    <row r="334" spans="1:11" ht="14.45" customHeight="1" x14ac:dyDescent="0.2">
      <c r="A334" s="715" t="s">
        <v>518</v>
      </c>
      <c r="B334" s="716" t="s">
        <v>519</v>
      </c>
      <c r="C334" s="717" t="s">
        <v>531</v>
      </c>
      <c r="D334" s="718" t="s">
        <v>532</v>
      </c>
      <c r="E334" s="717" t="s">
        <v>2355</v>
      </c>
      <c r="F334" s="718" t="s">
        <v>2356</v>
      </c>
      <c r="G334" s="717" t="s">
        <v>2597</v>
      </c>
      <c r="H334" s="717" t="s">
        <v>2599</v>
      </c>
      <c r="I334" s="720">
        <v>148.22999572753906</v>
      </c>
      <c r="J334" s="720">
        <v>10</v>
      </c>
      <c r="K334" s="721">
        <v>1482.300048828125</v>
      </c>
    </row>
    <row r="335" spans="1:11" ht="14.45" customHeight="1" x14ac:dyDescent="0.2">
      <c r="A335" s="715" t="s">
        <v>518</v>
      </c>
      <c r="B335" s="716" t="s">
        <v>519</v>
      </c>
      <c r="C335" s="717" t="s">
        <v>531</v>
      </c>
      <c r="D335" s="718" t="s">
        <v>532</v>
      </c>
      <c r="E335" s="717" t="s">
        <v>2355</v>
      </c>
      <c r="F335" s="718" t="s">
        <v>2356</v>
      </c>
      <c r="G335" s="717" t="s">
        <v>2600</v>
      </c>
      <c r="H335" s="717" t="s">
        <v>2601</v>
      </c>
      <c r="I335" s="720">
        <v>232</v>
      </c>
      <c r="J335" s="720">
        <v>10</v>
      </c>
      <c r="K335" s="721">
        <v>2319.949951171875</v>
      </c>
    </row>
    <row r="336" spans="1:11" ht="14.45" customHeight="1" x14ac:dyDescent="0.2">
      <c r="A336" s="715" t="s">
        <v>518</v>
      </c>
      <c r="B336" s="716" t="s">
        <v>519</v>
      </c>
      <c r="C336" s="717" t="s">
        <v>531</v>
      </c>
      <c r="D336" s="718" t="s">
        <v>532</v>
      </c>
      <c r="E336" s="717" t="s">
        <v>2355</v>
      </c>
      <c r="F336" s="718" t="s">
        <v>2356</v>
      </c>
      <c r="G336" s="717" t="s">
        <v>2602</v>
      </c>
      <c r="H336" s="717" t="s">
        <v>2603</v>
      </c>
      <c r="I336" s="720">
        <v>139.35500335693359</v>
      </c>
      <c r="J336" s="720">
        <v>15</v>
      </c>
      <c r="K336" s="721">
        <v>2090.320068359375</v>
      </c>
    </row>
    <row r="337" spans="1:11" ht="14.45" customHeight="1" x14ac:dyDescent="0.2">
      <c r="A337" s="715" t="s">
        <v>518</v>
      </c>
      <c r="B337" s="716" t="s">
        <v>519</v>
      </c>
      <c r="C337" s="717" t="s">
        <v>531</v>
      </c>
      <c r="D337" s="718" t="s">
        <v>532</v>
      </c>
      <c r="E337" s="717" t="s">
        <v>2355</v>
      </c>
      <c r="F337" s="718" t="s">
        <v>2356</v>
      </c>
      <c r="G337" s="717" t="s">
        <v>2604</v>
      </c>
      <c r="H337" s="717" t="s">
        <v>2605</v>
      </c>
      <c r="I337" s="720">
        <v>153.11000061035156</v>
      </c>
      <c r="J337" s="720">
        <v>15</v>
      </c>
      <c r="K337" s="721">
        <v>2296.7000122070313</v>
      </c>
    </row>
    <row r="338" spans="1:11" ht="14.45" customHeight="1" x14ac:dyDescent="0.2">
      <c r="A338" s="715" t="s">
        <v>518</v>
      </c>
      <c r="B338" s="716" t="s">
        <v>519</v>
      </c>
      <c r="C338" s="717" t="s">
        <v>531</v>
      </c>
      <c r="D338" s="718" t="s">
        <v>532</v>
      </c>
      <c r="E338" s="717" t="s">
        <v>2355</v>
      </c>
      <c r="F338" s="718" t="s">
        <v>2356</v>
      </c>
      <c r="G338" s="717" t="s">
        <v>2606</v>
      </c>
      <c r="H338" s="717" t="s">
        <v>2607</v>
      </c>
      <c r="I338" s="720">
        <v>153.11000061035156</v>
      </c>
      <c r="J338" s="720">
        <v>10</v>
      </c>
      <c r="K338" s="721">
        <v>1531.1300048828125</v>
      </c>
    </row>
    <row r="339" spans="1:11" ht="14.45" customHeight="1" x14ac:dyDescent="0.2">
      <c r="A339" s="715" t="s">
        <v>518</v>
      </c>
      <c r="B339" s="716" t="s">
        <v>519</v>
      </c>
      <c r="C339" s="717" t="s">
        <v>531</v>
      </c>
      <c r="D339" s="718" t="s">
        <v>532</v>
      </c>
      <c r="E339" s="717" t="s">
        <v>2355</v>
      </c>
      <c r="F339" s="718" t="s">
        <v>2356</v>
      </c>
      <c r="G339" s="717" t="s">
        <v>2602</v>
      </c>
      <c r="H339" s="717" t="s">
        <v>2608</v>
      </c>
      <c r="I339" s="720">
        <v>139.35250473022461</v>
      </c>
      <c r="J339" s="720">
        <v>45</v>
      </c>
      <c r="K339" s="721">
        <v>6270.9501953125</v>
      </c>
    </row>
    <row r="340" spans="1:11" ht="14.45" customHeight="1" x14ac:dyDescent="0.2">
      <c r="A340" s="715" t="s">
        <v>518</v>
      </c>
      <c r="B340" s="716" t="s">
        <v>519</v>
      </c>
      <c r="C340" s="717" t="s">
        <v>531</v>
      </c>
      <c r="D340" s="718" t="s">
        <v>532</v>
      </c>
      <c r="E340" s="717" t="s">
        <v>2355</v>
      </c>
      <c r="F340" s="718" t="s">
        <v>2356</v>
      </c>
      <c r="G340" s="717" t="s">
        <v>2604</v>
      </c>
      <c r="H340" s="717" t="s">
        <v>2609</v>
      </c>
      <c r="I340" s="720">
        <v>153.11000061035156</v>
      </c>
      <c r="J340" s="720">
        <v>35</v>
      </c>
      <c r="K340" s="721">
        <v>5358.9599609375</v>
      </c>
    </row>
    <row r="341" spans="1:11" ht="14.45" customHeight="1" x14ac:dyDescent="0.2">
      <c r="A341" s="715" t="s">
        <v>518</v>
      </c>
      <c r="B341" s="716" t="s">
        <v>519</v>
      </c>
      <c r="C341" s="717" t="s">
        <v>531</v>
      </c>
      <c r="D341" s="718" t="s">
        <v>532</v>
      </c>
      <c r="E341" s="717" t="s">
        <v>2355</v>
      </c>
      <c r="F341" s="718" t="s">
        <v>2356</v>
      </c>
      <c r="G341" s="717" t="s">
        <v>2606</v>
      </c>
      <c r="H341" s="717" t="s">
        <v>2610</v>
      </c>
      <c r="I341" s="720">
        <v>153.11499786376953</v>
      </c>
      <c r="J341" s="720">
        <v>20</v>
      </c>
      <c r="K341" s="721">
        <v>3062.3700561523438</v>
      </c>
    </row>
    <row r="342" spans="1:11" ht="14.45" customHeight="1" x14ac:dyDescent="0.2">
      <c r="A342" s="715" t="s">
        <v>518</v>
      </c>
      <c r="B342" s="716" t="s">
        <v>519</v>
      </c>
      <c r="C342" s="717" t="s">
        <v>531</v>
      </c>
      <c r="D342" s="718" t="s">
        <v>532</v>
      </c>
      <c r="E342" s="717" t="s">
        <v>2355</v>
      </c>
      <c r="F342" s="718" t="s">
        <v>2356</v>
      </c>
      <c r="G342" s="717" t="s">
        <v>2611</v>
      </c>
      <c r="H342" s="717" t="s">
        <v>2612</v>
      </c>
      <c r="I342" s="720">
        <v>26.170000076293945</v>
      </c>
      <c r="J342" s="720">
        <v>10</v>
      </c>
      <c r="K342" s="721">
        <v>261.70001220703125</v>
      </c>
    </row>
    <row r="343" spans="1:11" ht="14.45" customHeight="1" x14ac:dyDescent="0.2">
      <c r="A343" s="715" t="s">
        <v>518</v>
      </c>
      <c r="B343" s="716" t="s">
        <v>519</v>
      </c>
      <c r="C343" s="717" t="s">
        <v>531</v>
      </c>
      <c r="D343" s="718" t="s">
        <v>532</v>
      </c>
      <c r="E343" s="717" t="s">
        <v>2355</v>
      </c>
      <c r="F343" s="718" t="s">
        <v>2356</v>
      </c>
      <c r="G343" s="717" t="s">
        <v>2611</v>
      </c>
      <c r="H343" s="717" t="s">
        <v>2613</v>
      </c>
      <c r="I343" s="720">
        <v>25.010000228881836</v>
      </c>
      <c r="J343" s="720">
        <v>3</v>
      </c>
      <c r="K343" s="721">
        <v>75.029998779296875</v>
      </c>
    </row>
    <row r="344" spans="1:11" ht="14.45" customHeight="1" x14ac:dyDescent="0.2">
      <c r="A344" s="715" t="s">
        <v>518</v>
      </c>
      <c r="B344" s="716" t="s">
        <v>519</v>
      </c>
      <c r="C344" s="717" t="s">
        <v>531</v>
      </c>
      <c r="D344" s="718" t="s">
        <v>532</v>
      </c>
      <c r="E344" s="717" t="s">
        <v>2355</v>
      </c>
      <c r="F344" s="718" t="s">
        <v>2356</v>
      </c>
      <c r="G344" s="717" t="s">
        <v>2614</v>
      </c>
      <c r="H344" s="717" t="s">
        <v>2615</v>
      </c>
      <c r="I344" s="720">
        <v>9.1999998092651367</v>
      </c>
      <c r="J344" s="720">
        <v>3950</v>
      </c>
      <c r="K344" s="721">
        <v>36340</v>
      </c>
    </row>
    <row r="345" spans="1:11" ht="14.45" customHeight="1" x14ac:dyDescent="0.2">
      <c r="A345" s="715" t="s">
        <v>518</v>
      </c>
      <c r="B345" s="716" t="s">
        <v>519</v>
      </c>
      <c r="C345" s="717" t="s">
        <v>531</v>
      </c>
      <c r="D345" s="718" t="s">
        <v>532</v>
      </c>
      <c r="E345" s="717" t="s">
        <v>2355</v>
      </c>
      <c r="F345" s="718" t="s">
        <v>2356</v>
      </c>
      <c r="G345" s="717" t="s">
        <v>2614</v>
      </c>
      <c r="H345" s="717" t="s">
        <v>2616</v>
      </c>
      <c r="I345" s="720">
        <v>9.1999998092651367</v>
      </c>
      <c r="J345" s="720">
        <v>2500</v>
      </c>
      <c r="K345" s="721">
        <v>23000</v>
      </c>
    </row>
    <row r="346" spans="1:11" ht="14.45" customHeight="1" x14ac:dyDescent="0.2">
      <c r="A346" s="715" t="s">
        <v>518</v>
      </c>
      <c r="B346" s="716" t="s">
        <v>519</v>
      </c>
      <c r="C346" s="717" t="s">
        <v>531</v>
      </c>
      <c r="D346" s="718" t="s">
        <v>532</v>
      </c>
      <c r="E346" s="717" t="s">
        <v>2355</v>
      </c>
      <c r="F346" s="718" t="s">
        <v>2356</v>
      </c>
      <c r="G346" s="717" t="s">
        <v>2614</v>
      </c>
      <c r="H346" s="717" t="s">
        <v>2617</v>
      </c>
      <c r="I346" s="720">
        <v>9.1999998092651367</v>
      </c>
      <c r="J346" s="720">
        <v>500</v>
      </c>
      <c r="K346" s="721">
        <v>4600</v>
      </c>
    </row>
    <row r="347" spans="1:11" ht="14.45" customHeight="1" x14ac:dyDescent="0.2">
      <c r="A347" s="715" t="s">
        <v>518</v>
      </c>
      <c r="B347" s="716" t="s">
        <v>519</v>
      </c>
      <c r="C347" s="717" t="s">
        <v>531</v>
      </c>
      <c r="D347" s="718" t="s">
        <v>532</v>
      </c>
      <c r="E347" s="717" t="s">
        <v>2355</v>
      </c>
      <c r="F347" s="718" t="s">
        <v>2356</v>
      </c>
      <c r="G347" s="717" t="s">
        <v>2618</v>
      </c>
      <c r="H347" s="717" t="s">
        <v>2619</v>
      </c>
      <c r="I347" s="720">
        <v>58.369998931884766</v>
      </c>
      <c r="J347" s="720">
        <v>1500</v>
      </c>
      <c r="K347" s="721">
        <v>87555</v>
      </c>
    </row>
    <row r="348" spans="1:11" ht="14.45" customHeight="1" x14ac:dyDescent="0.2">
      <c r="A348" s="715" t="s">
        <v>518</v>
      </c>
      <c r="B348" s="716" t="s">
        <v>519</v>
      </c>
      <c r="C348" s="717" t="s">
        <v>531</v>
      </c>
      <c r="D348" s="718" t="s">
        <v>532</v>
      </c>
      <c r="E348" s="717" t="s">
        <v>2355</v>
      </c>
      <c r="F348" s="718" t="s">
        <v>2356</v>
      </c>
      <c r="G348" s="717" t="s">
        <v>2620</v>
      </c>
      <c r="H348" s="717" t="s">
        <v>2621</v>
      </c>
      <c r="I348" s="720">
        <v>110.91999816894531</v>
      </c>
      <c r="J348" s="720">
        <v>1180</v>
      </c>
      <c r="K348" s="721">
        <v>130886.44360351563</v>
      </c>
    </row>
    <row r="349" spans="1:11" ht="14.45" customHeight="1" x14ac:dyDescent="0.2">
      <c r="A349" s="715" t="s">
        <v>518</v>
      </c>
      <c r="B349" s="716" t="s">
        <v>519</v>
      </c>
      <c r="C349" s="717" t="s">
        <v>531</v>
      </c>
      <c r="D349" s="718" t="s">
        <v>532</v>
      </c>
      <c r="E349" s="717" t="s">
        <v>2355</v>
      </c>
      <c r="F349" s="718" t="s">
        <v>2356</v>
      </c>
      <c r="G349" s="717" t="s">
        <v>2620</v>
      </c>
      <c r="H349" s="717" t="s">
        <v>2622</v>
      </c>
      <c r="I349" s="720">
        <v>110.91999816894531</v>
      </c>
      <c r="J349" s="720">
        <v>1240</v>
      </c>
      <c r="K349" s="721">
        <v>137541.673828125</v>
      </c>
    </row>
    <row r="350" spans="1:11" ht="14.45" customHeight="1" x14ac:dyDescent="0.2">
      <c r="A350" s="715" t="s">
        <v>518</v>
      </c>
      <c r="B350" s="716" t="s">
        <v>519</v>
      </c>
      <c r="C350" s="717" t="s">
        <v>531</v>
      </c>
      <c r="D350" s="718" t="s">
        <v>532</v>
      </c>
      <c r="E350" s="717" t="s">
        <v>2355</v>
      </c>
      <c r="F350" s="718" t="s">
        <v>2356</v>
      </c>
      <c r="G350" s="717" t="s">
        <v>2623</v>
      </c>
      <c r="H350" s="717" t="s">
        <v>2624</v>
      </c>
      <c r="I350" s="720">
        <v>58.085000991821289</v>
      </c>
      <c r="J350" s="720">
        <v>67</v>
      </c>
      <c r="K350" s="721">
        <v>3891.800048828125</v>
      </c>
    </row>
    <row r="351" spans="1:11" ht="14.45" customHeight="1" x14ac:dyDescent="0.2">
      <c r="A351" s="715" t="s">
        <v>518</v>
      </c>
      <c r="B351" s="716" t="s">
        <v>519</v>
      </c>
      <c r="C351" s="717" t="s">
        <v>531</v>
      </c>
      <c r="D351" s="718" t="s">
        <v>532</v>
      </c>
      <c r="E351" s="717" t="s">
        <v>2355</v>
      </c>
      <c r="F351" s="718" t="s">
        <v>2356</v>
      </c>
      <c r="G351" s="717" t="s">
        <v>2625</v>
      </c>
      <c r="H351" s="717" t="s">
        <v>2626</v>
      </c>
      <c r="I351" s="720">
        <v>58.080001831054688</v>
      </c>
      <c r="J351" s="720">
        <v>275</v>
      </c>
      <c r="K351" s="721">
        <v>15972</v>
      </c>
    </row>
    <row r="352" spans="1:11" ht="14.45" customHeight="1" x14ac:dyDescent="0.2">
      <c r="A352" s="715" t="s">
        <v>518</v>
      </c>
      <c r="B352" s="716" t="s">
        <v>519</v>
      </c>
      <c r="C352" s="717" t="s">
        <v>531</v>
      </c>
      <c r="D352" s="718" t="s">
        <v>532</v>
      </c>
      <c r="E352" s="717" t="s">
        <v>2355</v>
      </c>
      <c r="F352" s="718" t="s">
        <v>2356</v>
      </c>
      <c r="G352" s="717" t="s">
        <v>2625</v>
      </c>
      <c r="H352" s="717" t="s">
        <v>2627</v>
      </c>
      <c r="I352" s="720">
        <v>58.080001831054688</v>
      </c>
      <c r="J352" s="720">
        <v>570</v>
      </c>
      <c r="K352" s="721">
        <v>33105.600402832031</v>
      </c>
    </row>
    <row r="353" spans="1:11" ht="14.45" customHeight="1" x14ac:dyDescent="0.2">
      <c r="A353" s="715" t="s">
        <v>518</v>
      </c>
      <c r="B353" s="716" t="s">
        <v>519</v>
      </c>
      <c r="C353" s="717" t="s">
        <v>531</v>
      </c>
      <c r="D353" s="718" t="s">
        <v>532</v>
      </c>
      <c r="E353" s="717" t="s">
        <v>2355</v>
      </c>
      <c r="F353" s="718" t="s">
        <v>2356</v>
      </c>
      <c r="G353" s="717" t="s">
        <v>2628</v>
      </c>
      <c r="H353" s="717" t="s">
        <v>2629</v>
      </c>
      <c r="I353" s="720">
        <v>496.3699951171875</v>
      </c>
      <c r="J353" s="720">
        <v>10</v>
      </c>
      <c r="K353" s="721">
        <v>4963.66015625</v>
      </c>
    </row>
    <row r="354" spans="1:11" ht="14.45" customHeight="1" x14ac:dyDescent="0.2">
      <c r="A354" s="715" t="s">
        <v>518</v>
      </c>
      <c r="B354" s="716" t="s">
        <v>519</v>
      </c>
      <c r="C354" s="717" t="s">
        <v>531</v>
      </c>
      <c r="D354" s="718" t="s">
        <v>532</v>
      </c>
      <c r="E354" s="717" t="s">
        <v>2355</v>
      </c>
      <c r="F354" s="718" t="s">
        <v>2356</v>
      </c>
      <c r="G354" s="717" t="s">
        <v>2630</v>
      </c>
      <c r="H354" s="717" t="s">
        <v>2631</v>
      </c>
      <c r="I354" s="720">
        <v>7.0199999809265137</v>
      </c>
      <c r="J354" s="720">
        <v>10</v>
      </c>
      <c r="K354" s="721">
        <v>70.199996948242188</v>
      </c>
    </row>
    <row r="355" spans="1:11" ht="14.45" customHeight="1" x14ac:dyDescent="0.2">
      <c r="A355" s="715" t="s">
        <v>518</v>
      </c>
      <c r="B355" s="716" t="s">
        <v>519</v>
      </c>
      <c r="C355" s="717" t="s">
        <v>531</v>
      </c>
      <c r="D355" s="718" t="s">
        <v>532</v>
      </c>
      <c r="E355" s="717" t="s">
        <v>2355</v>
      </c>
      <c r="F355" s="718" t="s">
        <v>2356</v>
      </c>
      <c r="G355" s="717" t="s">
        <v>2632</v>
      </c>
      <c r="H355" s="717" t="s">
        <v>2633</v>
      </c>
      <c r="I355" s="720">
        <v>6.619999885559082</v>
      </c>
      <c r="J355" s="720">
        <v>15</v>
      </c>
      <c r="K355" s="721">
        <v>99.299995422363281</v>
      </c>
    </row>
    <row r="356" spans="1:11" ht="14.45" customHeight="1" x14ac:dyDescent="0.2">
      <c r="A356" s="715" t="s">
        <v>518</v>
      </c>
      <c r="B356" s="716" t="s">
        <v>519</v>
      </c>
      <c r="C356" s="717" t="s">
        <v>531</v>
      </c>
      <c r="D356" s="718" t="s">
        <v>532</v>
      </c>
      <c r="E356" s="717" t="s">
        <v>2355</v>
      </c>
      <c r="F356" s="718" t="s">
        <v>2356</v>
      </c>
      <c r="G356" s="717" t="s">
        <v>2634</v>
      </c>
      <c r="H356" s="717" t="s">
        <v>2635</v>
      </c>
      <c r="I356" s="720">
        <v>7.0199999809265137</v>
      </c>
      <c r="J356" s="720">
        <v>5</v>
      </c>
      <c r="K356" s="721">
        <v>35.099998474121094</v>
      </c>
    </row>
    <row r="357" spans="1:11" ht="14.45" customHeight="1" x14ac:dyDescent="0.2">
      <c r="A357" s="715" t="s">
        <v>518</v>
      </c>
      <c r="B357" s="716" t="s">
        <v>519</v>
      </c>
      <c r="C357" s="717" t="s">
        <v>531</v>
      </c>
      <c r="D357" s="718" t="s">
        <v>532</v>
      </c>
      <c r="E357" s="717" t="s">
        <v>2355</v>
      </c>
      <c r="F357" s="718" t="s">
        <v>2356</v>
      </c>
      <c r="G357" s="717" t="s">
        <v>2630</v>
      </c>
      <c r="H357" s="717" t="s">
        <v>2636</v>
      </c>
      <c r="I357" s="720">
        <v>6.4100000381469728</v>
      </c>
      <c r="J357" s="720">
        <v>54</v>
      </c>
      <c r="K357" s="721">
        <v>353.73000717163086</v>
      </c>
    </row>
    <row r="358" spans="1:11" ht="14.45" customHeight="1" x14ac:dyDescent="0.2">
      <c r="A358" s="715" t="s">
        <v>518</v>
      </c>
      <c r="B358" s="716" t="s">
        <v>519</v>
      </c>
      <c r="C358" s="717" t="s">
        <v>531</v>
      </c>
      <c r="D358" s="718" t="s">
        <v>532</v>
      </c>
      <c r="E358" s="717" t="s">
        <v>2355</v>
      </c>
      <c r="F358" s="718" t="s">
        <v>2356</v>
      </c>
      <c r="G358" s="717" t="s">
        <v>2632</v>
      </c>
      <c r="H358" s="717" t="s">
        <v>2637</v>
      </c>
      <c r="I358" s="720">
        <v>6.2925000190734863</v>
      </c>
      <c r="J358" s="720">
        <v>25</v>
      </c>
      <c r="K358" s="721">
        <v>157.30000305175781</v>
      </c>
    </row>
    <row r="359" spans="1:11" ht="14.45" customHeight="1" x14ac:dyDescent="0.2">
      <c r="A359" s="715" t="s">
        <v>518</v>
      </c>
      <c r="B359" s="716" t="s">
        <v>519</v>
      </c>
      <c r="C359" s="717" t="s">
        <v>531</v>
      </c>
      <c r="D359" s="718" t="s">
        <v>532</v>
      </c>
      <c r="E359" s="717" t="s">
        <v>2355</v>
      </c>
      <c r="F359" s="718" t="s">
        <v>2356</v>
      </c>
      <c r="G359" s="717" t="s">
        <v>2638</v>
      </c>
      <c r="H359" s="717" t="s">
        <v>2639</v>
      </c>
      <c r="I359" s="720">
        <v>172.5</v>
      </c>
      <c r="J359" s="720">
        <v>1</v>
      </c>
      <c r="K359" s="721">
        <v>172.5</v>
      </c>
    </row>
    <row r="360" spans="1:11" ht="14.45" customHeight="1" x14ac:dyDescent="0.2">
      <c r="A360" s="715" t="s">
        <v>518</v>
      </c>
      <c r="B360" s="716" t="s">
        <v>519</v>
      </c>
      <c r="C360" s="717" t="s">
        <v>531</v>
      </c>
      <c r="D360" s="718" t="s">
        <v>532</v>
      </c>
      <c r="E360" s="717" t="s">
        <v>2355</v>
      </c>
      <c r="F360" s="718" t="s">
        <v>2356</v>
      </c>
      <c r="G360" s="717" t="s">
        <v>2638</v>
      </c>
      <c r="H360" s="717" t="s">
        <v>2640</v>
      </c>
      <c r="I360" s="720">
        <v>172.5</v>
      </c>
      <c r="J360" s="720">
        <v>2</v>
      </c>
      <c r="K360" s="721">
        <v>345</v>
      </c>
    </row>
    <row r="361" spans="1:11" ht="14.45" customHeight="1" x14ac:dyDescent="0.2">
      <c r="A361" s="715" t="s">
        <v>518</v>
      </c>
      <c r="B361" s="716" t="s">
        <v>519</v>
      </c>
      <c r="C361" s="717" t="s">
        <v>531</v>
      </c>
      <c r="D361" s="718" t="s">
        <v>532</v>
      </c>
      <c r="E361" s="717" t="s">
        <v>2355</v>
      </c>
      <c r="F361" s="718" t="s">
        <v>2356</v>
      </c>
      <c r="G361" s="717" t="s">
        <v>2641</v>
      </c>
      <c r="H361" s="717" t="s">
        <v>2642</v>
      </c>
      <c r="I361" s="720">
        <v>44.849998474121094</v>
      </c>
      <c r="J361" s="720">
        <v>40</v>
      </c>
      <c r="K361" s="721">
        <v>1794</v>
      </c>
    </row>
    <row r="362" spans="1:11" ht="14.45" customHeight="1" x14ac:dyDescent="0.2">
      <c r="A362" s="715" t="s">
        <v>518</v>
      </c>
      <c r="B362" s="716" t="s">
        <v>519</v>
      </c>
      <c r="C362" s="717" t="s">
        <v>531</v>
      </c>
      <c r="D362" s="718" t="s">
        <v>532</v>
      </c>
      <c r="E362" s="717" t="s">
        <v>2355</v>
      </c>
      <c r="F362" s="718" t="s">
        <v>2356</v>
      </c>
      <c r="G362" s="717" t="s">
        <v>2643</v>
      </c>
      <c r="H362" s="717" t="s">
        <v>2644</v>
      </c>
      <c r="I362" s="720">
        <v>284.35000610351563</v>
      </c>
      <c r="J362" s="720">
        <v>99</v>
      </c>
      <c r="K362" s="721">
        <v>28150.650390625</v>
      </c>
    </row>
    <row r="363" spans="1:11" ht="14.45" customHeight="1" x14ac:dyDescent="0.2">
      <c r="A363" s="715" t="s">
        <v>518</v>
      </c>
      <c r="B363" s="716" t="s">
        <v>519</v>
      </c>
      <c r="C363" s="717" t="s">
        <v>531</v>
      </c>
      <c r="D363" s="718" t="s">
        <v>532</v>
      </c>
      <c r="E363" s="717" t="s">
        <v>2355</v>
      </c>
      <c r="F363" s="718" t="s">
        <v>2356</v>
      </c>
      <c r="G363" s="717" t="s">
        <v>2645</v>
      </c>
      <c r="H363" s="717" t="s">
        <v>2646</v>
      </c>
      <c r="I363" s="720">
        <v>150</v>
      </c>
      <c r="J363" s="720">
        <v>100</v>
      </c>
      <c r="K363" s="721">
        <v>15000.3701171875</v>
      </c>
    </row>
    <row r="364" spans="1:11" ht="14.45" customHeight="1" x14ac:dyDescent="0.2">
      <c r="A364" s="715" t="s">
        <v>518</v>
      </c>
      <c r="B364" s="716" t="s">
        <v>519</v>
      </c>
      <c r="C364" s="717" t="s">
        <v>531</v>
      </c>
      <c r="D364" s="718" t="s">
        <v>532</v>
      </c>
      <c r="E364" s="717" t="s">
        <v>2355</v>
      </c>
      <c r="F364" s="718" t="s">
        <v>2356</v>
      </c>
      <c r="G364" s="717" t="s">
        <v>2647</v>
      </c>
      <c r="H364" s="717" t="s">
        <v>2648</v>
      </c>
      <c r="I364" s="720">
        <v>6.1725000143051147</v>
      </c>
      <c r="J364" s="720">
        <v>1140</v>
      </c>
      <c r="K364" s="721">
        <v>7039.8000030517578</v>
      </c>
    </row>
    <row r="365" spans="1:11" ht="14.45" customHeight="1" x14ac:dyDescent="0.2">
      <c r="A365" s="715" t="s">
        <v>518</v>
      </c>
      <c r="B365" s="716" t="s">
        <v>519</v>
      </c>
      <c r="C365" s="717" t="s">
        <v>531</v>
      </c>
      <c r="D365" s="718" t="s">
        <v>532</v>
      </c>
      <c r="E365" s="717" t="s">
        <v>2355</v>
      </c>
      <c r="F365" s="718" t="s">
        <v>2356</v>
      </c>
      <c r="G365" s="717" t="s">
        <v>2641</v>
      </c>
      <c r="H365" s="717" t="s">
        <v>2649</v>
      </c>
      <c r="I365" s="720">
        <v>44.849998474121094</v>
      </c>
      <c r="J365" s="720">
        <v>40</v>
      </c>
      <c r="K365" s="721">
        <v>1794</v>
      </c>
    </row>
    <row r="366" spans="1:11" ht="14.45" customHeight="1" x14ac:dyDescent="0.2">
      <c r="A366" s="715" t="s">
        <v>518</v>
      </c>
      <c r="B366" s="716" t="s">
        <v>519</v>
      </c>
      <c r="C366" s="717" t="s">
        <v>531</v>
      </c>
      <c r="D366" s="718" t="s">
        <v>532</v>
      </c>
      <c r="E366" s="717" t="s">
        <v>2355</v>
      </c>
      <c r="F366" s="718" t="s">
        <v>2356</v>
      </c>
      <c r="G366" s="717" t="s">
        <v>2643</v>
      </c>
      <c r="H366" s="717" t="s">
        <v>2650</v>
      </c>
      <c r="I366" s="720">
        <v>298.38334147135419</v>
      </c>
      <c r="J366" s="720">
        <v>62</v>
      </c>
      <c r="K366" s="721">
        <v>18258.400024414063</v>
      </c>
    </row>
    <row r="367" spans="1:11" ht="14.45" customHeight="1" x14ac:dyDescent="0.2">
      <c r="A367" s="715" t="s">
        <v>518</v>
      </c>
      <c r="B367" s="716" t="s">
        <v>519</v>
      </c>
      <c r="C367" s="717" t="s">
        <v>531</v>
      </c>
      <c r="D367" s="718" t="s">
        <v>532</v>
      </c>
      <c r="E367" s="717" t="s">
        <v>2355</v>
      </c>
      <c r="F367" s="718" t="s">
        <v>2356</v>
      </c>
      <c r="G367" s="717" t="s">
        <v>2647</v>
      </c>
      <c r="H367" s="717" t="s">
        <v>2651</v>
      </c>
      <c r="I367" s="720">
        <v>6.1700000762939453</v>
      </c>
      <c r="J367" s="720">
        <v>1500</v>
      </c>
      <c r="K367" s="721">
        <v>9255</v>
      </c>
    </row>
    <row r="368" spans="1:11" ht="14.45" customHeight="1" x14ac:dyDescent="0.2">
      <c r="A368" s="715" t="s">
        <v>518</v>
      </c>
      <c r="B368" s="716" t="s">
        <v>519</v>
      </c>
      <c r="C368" s="717" t="s">
        <v>531</v>
      </c>
      <c r="D368" s="718" t="s">
        <v>532</v>
      </c>
      <c r="E368" s="717" t="s">
        <v>2355</v>
      </c>
      <c r="F368" s="718" t="s">
        <v>2356</v>
      </c>
      <c r="G368" s="717" t="s">
        <v>2652</v>
      </c>
      <c r="H368" s="717" t="s">
        <v>2653</v>
      </c>
      <c r="I368" s="720">
        <v>20.690000534057617</v>
      </c>
      <c r="J368" s="720">
        <v>100</v>
      </c>
      <c r="K368" s="721">
        <v>2069.10009765625</v>
      </c>
    </row>
    <row r="369" spans="1:11" ht="14.45" customHeight="1" x14ac:dyDescent="0.2">
      <c r="A369" s="715" t="s">
        <v>518</v>
      </c>
      <c r="B369" s="716" t="s">
        <v>519</v>
      </c>
      <c r="C369" s="717" t="s">
        <v>531</v>
      </c>
      <c r="D369" s="718" t="s">
        <v>532</v>
      </c>
      <c r="E369" s="717" t="s">
        <v>2355</v>
      </c>
      <c r="F369" s="718" t="s">
        <v>2356</v>
      </c>
      <c r="G369" s="717" t="s">
        <v>2654</v>
      </c>
      <c r="H369" s="717" t="s">
        <v>2655</v>
      </c>
      <c r="I369" s="720">
        <v>60.900001525878906</v>
      </c>
      <c r="J369" s="720">
        <v>30</v>
      </c>
      <c r="K369" s="721">
        <v>1827.080078125</v>
      </c>
    </row>
    <row r="370" spans="1:11" ht="14.45" customHeight="1" x14ac:dyDescent="0.2">
      <c r="A370" s="715" t="s">
        <v>518</v>
      </c>
      <c r="B370" s="716" t="s">
        <v>519</v>
      </c>
      <c r="C370" s="717" t="s">
        <v>531</v>
      </c>
      <c r="D370" s="718" t="s">
        <v>532</v>
      </c>
      <c r="E370" s="717" t="s">
        <v>2355</v>
      </c>
      <c r="F370" s="718" t="s">
        <v>2356</v>
      </c>
      <c r="G370" s="717" t="s">
        <v>2656</v>
      </c>
      <c r="H370" s="717" t="s">
        <v>2657</v>
      </c>
      <c r="I370" s="720">
        <v>60.900001525878906</v>
      </c>
      <c r="J370" s="720">
        <v>20</v>
      </c>
      <c r="K370" s="721">
        <v>1218.06005859375</v>
      </c>
    </row>
    <row r="371" spans="1:11" ht="14.45" customHeight="1" x14ac:dyDescent="0.2">
      <c r="A371" s="715" t="s">
        <v>518</v>
      </c>
      <c r="B371" s="716" t="s">
        <v>519</v>
      </c>
      <c r="C371" s="717" t="s">
        <v>531</v>
      </c>
      <c r="D371" s="718" t="s">
        <v>532</v>
      </c>
      <c r="E371" s="717" t="s">
        <v>2355</v>
      </c>
      <c r="F371" s="718" t="s">
        <v>2356</v>
      </c>
      <c r="G371" s="717" t="s">
        <v>2658</v>
      </c>
      <c r="H371" s="717" t="s">
        <v>2659</v>
      </c>
      <c r="I371" s="720">
        <v>82.199996948242188</v>
      </c>
      <c r="J371" s="720">
        <v>50</v>
      </c>
      <c r="K371" s="721">
        <v>4109.929931640625</v>
      </c>
    </row>
    <row r="372" spans="1:11" ht="14.45" customHeight="1" x14ac:dyDescent="0.2">
      <c r="A372" s="715" t="s">
        <v>518</v>
      </c>
      <c r="B372" s="716" t="s">
        <v>519</v>
      </c>
      <c r="C372" s="717" t="s">
        <v>531</v>
      </c>
      <c r="D372" s="718" t="s">
        <v>532</v>
      </c>
      <c r="E372" s="717" t="s">
        <v>2355</v>
      </c>
      <c r="F372" s="718" t="s">
        <v>2356</v>
      </c>
      <c r="G372" s="717" t="s">
        <v>2660</v>
      </c>
      <c r="H372" s="717" t="s">
        <v>2661</v>
      </c>
      <c r="I372" s="720">
        <v>82.199996948242188</v>
      </c>
      <c r="J372" s="720">
        <v>50</v>
      </c>
      <c r="K372" s="721">
        <v>4109.93994140625</v>
      </c>
    </row>
    <row r="373" spans="1:11" ht="14.45" customHeight="1" x14ac:dyDescent="0.2">
      <c r="A373" s="715" t="s">
        <v>518</v>
      </c>
      <c r="B373" s="716" t="s">
        <v>519</v>
      </c>
      <c r="C373" s="717" t="s">
        <v>531</v>
      </c>
      <c r="D373" s="718" t="s">
        <v>532</v>
      </c>
      <c r="E373" s="717" t="s">
        <v>2355</v>
      </c>
      <c r="F373" s="718" t="s">
        <v>2356</v>
      </c>
      <c r="G373" s="717" t="s">
        <v>2662</v>
      </c>
      <c r="H373" s="717" t="s">
        <v>2663</v>
      </c>
      <c r="I373" s="720">
        <v>156.3699951171875</v>
      </c>
      <c r="J373" s="720">
        <v>20</v>
      </c>
      <c r="K373" s="721">
        <v>3127.489990234375</v>
      </c>
    </row>
    <row r="374" spans="1:11" ht="14.45" customHeight="1" x14ac:dyDescent="0.2">
      <c r="A374" s="715" t="s">
        <v>518</v>
      </c>
      <c r="B374" s="716" t="s">
        <v>519</v>
      </c>
      <c r="C374" s="717" t="s">
        <v>531</v>
      </c>
      <c r="D374" s="718" t="s">
        <v>532</v>
      </c>
      <c r="E374" s="717" t="s">
        <v>2355</v>
      </c>
      <c r="F374" s="718" t="s">
        <v>2356</v>
      </c>
      <c r="G374" s="717" t="s">
        <v>2664</v>
      </c>
      <c r="H374" s="717" t="s">
        <v>2665</v>
      </c>
      <c r="I374" s="720">
        <v>5082</v>
      </c>
      <c r="J374" s="720">
        <v>33</v>
      </c>
      <c r="K374" s="721">
        <v>167706</v>
      </c>
    </row>
    <row r="375" spans="1:11" ht="14.45" customHeight="1" x14ac:dyDescent="0.2">
      <c r="A375" s="715" t="s">
        <v>518</v>
      </c>
      <c r="B375" s="716" t="s">
        <v>519</v>
      </c>
      <c r="C375" s="717" t="s">
        <v>531</v>
      </c>
      <c r="D375" s="718" t="s">
        <v>532</v>
      </c>
      <c r="E375" s="717" t="s">
        <v>2355</v>
      </c>
      <c r="F375" s="718" t="s">
        <v>2356</v>
      </c>
      <c r="G375" s="717" t="s">
        <v>2664</v>
      </c>
      <c r="H375" s="717" t="s">
        <v>2666</v>
      </c>
      <c r="I375" s="720">
        <v>5082</v>
      </c>
      <c r="J375" s="720">
        <v>21</v>
      </c>
      <c r="K375" s="721">
        <v>106722</v>
      </c>
    </row>
    <row r="376" spans="1:11" ht="14.45" customHeight="1" x14ac:dyDescent="0.2">
      <c r="A376" s="715" t="s">
        <v>518</v>
      </c>
      <c r="B376" s="716" t="s">
        <v>519</v>
      </c>
      <c r="C376" s="717" t="s">
        <v>531</v>
      </c>
      <c r="D376" s="718" t="s">
        <v>532</v>
      </c>
      <c r="E376" s="717" t="s">
        <v>2355</v>
      </c>
      <c r="F376" s="718" t="s">
        <v>2356</v>
      </c>
      <c r="G376" s="717" t="s">
        <v>2667</v>
      </c>
      <c r="H376" s="717" t="s">
        <v>2668</v>
      </c>
      <c r="I376" s="720">
        <v>1234.199951171875</v>
      </c>
      <c r="J376" s="720">
        <v>15</v>
      </c>
      <c r="K376" s="721">
        <v>18513</v>
      </c>
    </row>
    <row r="377" spans="1:11" ht="14.45" customHeight="1" x14ac:dyDescent="0.2">
      <c r="A377" s="715" t="s">
        <v>518</v>
      </c>
      <c r="B377" s="716" t="s">
        <v>519</v>
      </c>
      <c r="C377" s="717" t="s">
        <v>531</v>
      </c>
      <c r="D377" s="718" t="s">
        <v>532</v>
      </c>
      <c r="E377" s="717" t="s">
        <v>2355</v>
      </c>
      <c r="F377" s="718" t="s">
        <v>2356</v>
      </c>
      <c r="G377" s="717" t="s">
        <v>2669</v>
      </c>
      <c r="H377" s="717" t="s">
        <v>2670</v>
      </c>
      <c r="I377" s="720">
        <v>204.39999389648438</v>
      </c>
      <c r="J377" s="720">
        <v>90</v>
      </c>
      <c r="K377" s="721">
        <v>18396</v>
      </c>
    </row>
    <row r="378" spans="1:11" ht="14.45" customHeight="1" x14ac:dyDescent="0.2">
      <c r="A378" s="715" t="s">
        <v>518</v>
      </c>
      <c r="B378" s="716" t="s">
        <v>519</v>
      </c>
      <c r="C378" s="717" t="s">
        <v>531</v>
      </c>
      <c r="D378" s="718" t="s">
        <v>532</v>
      </c>
      <c r="E378" s="717" t="s">
        <v>2355</v>
      </c>
      <c r="F378" s="718" t="s">
        <v>2356</v>
      </c>
      <c r="G378" s="717" t="s">
        <v>2669</v>
      </c>
      <c r="H378" s="717" t="s">
        <v>2671</v>
      </c>
      <c r="I378" s="720">
        <v>204.40333048502603</v>
      </c>
      <c r="J378" s="720">
        <v>210</v>
      </c>
      <c r="K378" s="721">
        <v>42924.599609375</v>
      </c>
    </row>
    <row r="379" spans="1:11" ht="14.45" customHeight="1" x14ac:dyDescent="0.2">
      <c r="A379" s="715" t="s">
        <v>518</v>
      </c>
      <c r="B379" s="716" t="s">
        <v>519</v>
      </c>
      <c r="C379" s="717" t="s">
        <v>531</v>
      </c>
      <c r="D379" s="718" t="s">
        <v>532</v>
      </c>
      <c r="E379" s="717" t="s">
        <v>2355</v>
      </c>
      <c r="F379" s="718" t="s">
        <v>2356</v>
      </c>
      <c r="G379" s="717" t="s">
        <v>2322</v>
      </c>
      <c r="H379" s="717" t="s">
        <v>2672</v>
      </c>
      <c r="I379" s="720">
        <v>32.799999237060547</v>
      </c>
      <c r="J379" s="720">
        <v>30</v>
      </c>
      <c r="K379" s="721">
        <v>984</v>
      </c>
    </row>
    <row r="380" spans="1:11" ht="14.45" customHeight="1" x14ac:dyDescent="0.2">
      <c r="A380" s="715" t="s">
        <v>518</v>
      </c>
      <c r="B380" s="716" t="s">
        <v>519</v>
      </c>
      <c r="C380" s="717" t="s">
        <v>531</v>
      </c>
      <c r="D380" s="718" t="s">
        <v>532</v>
      </c>
      <c r="E380" s="717" t="s">
        <v>2355</v>
      </c>
      <c r="F380" s="718" t="s">
        <v>2356</v>
      </c>
      <c r="G380" s="717" t="s">
        <v>2673</v>
      </c>
      <c r="H380" s="717" t="s">
        <v>2674</v>
      </c>
      <c r="I380" s="720">
        <v>2420</v>
      </c>
      <c r="J380" s="720">
        <v>1</v>
      </c>
      <c r="K380" s="721">
        <v>2420</v>
      </c>
    </row>
    <row r="381" spans="1:11" ht="14.45" customHeight="1" x14ac:dyDescent="0.2">
      <c r="A381" s="715" t="s">
        <v>518</v>
      </c>
      <c r="B381" s="716" t="s">
        <v>519</v>
      </c>
      <c r="C381" s="717" t="s">
        <v>531</v>
      </c>
      <c r="D381" s="718" t="s">
        <v>532</v>
      </c>
      <c r="E381" s="717" t="s">
        <v>2355</v>
      </c>
      <c r="F381" s="718" t="s">
        <v>2356</v>
      </c>
      <c r="G381" s="717" t="s">
        <v>2322</v>
      </c>
      <c r="H381" s="717" t="s">
        <v>2675</v>
      </c>
      <c r="I381" s="720">
        <v>32.790000915527344</v>
      </c>
      <c r="J381" s="720">
        <v>10</v>
      </c>
      <c r="K381" s="721">
        <v>327.89999389648438</v>
      </c>
    </row>
    <row r="382" spans="1:11" ht="14.45" customHeight="1" x14ac:dyDescent="0.2">
      <c r="A382" s="715" t="s">
        <v>518</v>
      </c>
      <c r="B382" s="716" t="s">
        <v>519</v>
      </c>
      <c r="C382" s="717" t="s">
        <v>531</v>
      </c>
      <c r="D382" s="718" t="s">
        <v>532</v>
      </c>
      <c r="E382" s="717" t="s">
        <v>2355</v>
      </c>
      <c r="F382" s="718" t="s">
        <v>2356</v>
      </c>
      <c r="G382" s="717" t="s">
        <v>2322</v>
      </c>
      <c r="H382" s="717" t="s">
        <v>2676</v>
      </c>
      <c r="I382" s="720">
        <v>34.5</v>
      </c>
      <c r="J382" s="720">
        <v>114</v>
      </c>
      <c r="K382" s="721">
        <v>3933</v>
      </c>
    </row>
    <row r="383" spans="1:11" ht="14.45" customHeight="1" x14ac:dyDescent="0.2">
      <c r="A383" s="715" t="s">
        <v>518</v>
      </c>
      <c r="B383" s="716" t="s">
        <v>519</v>
      </c>
      <c r="C383" s="717" t="s">
        <v>531</v>
      </c>
      <c r="D383" s="718" t="s">
        <v>532</v>
      </c>
      <c r="E383" s="717" t="s">
        <v>2355</v>
      </c>
      <c r="F383" s="718" t="s">
        <v>2356</v>
      </c>
      <c r="G383" s="717" t="s">
        <v>2677</v>
      </c>
      <c r="H383" s="717" t="s">
        <v>2678</v>
      </c>
      <c r="I383" s="720">
        <v>343.54000854492188</v>
      </c>
      <c r="J383" s="720">
        <v>10</v>
      </c>
      <c r="K383" s="721">
        <v>3435.429931640625</v>
      </c>
    </row>
    <row r="384" spans="1:11" ht="14.45" customHeight="1" x14ac:dyDescent="0.2">
      <c r="A384" s="715" t="s">
        <v>518</v>
      </c>
      <c r="B384" s="716" t="s">
        <v>519</v>
      </c>
      <c r="C384" s="717" t="s">
        <v>531</v>
      </c>
      <c r="D384" s="718" t="s">
        <v>532</v>
      </c>
      <c r="E384" s="717" t="s">
        <v>2355</v>
      </c>
      <c r="F384" s="718" t="s">
        <v>2356</v>
      </c>
      <c r="G384" s="717" t="s">
        <v>2679</v>
      </c>
      <c r="H384" s="717" t="s">
        <v>2680</v>
      </c>
      <c r="I384" s="720">
        <v>377.70999145507813</v>
      </c>
      <c r="J384" s="720">
        <v>10</v>
      </c>
      <c r="K384" s="721">
        <v>3777.139892578125</v>
      </c>
    </row>
    <row r="385" spans="1:11" ht="14.45" customHeight="1" x14ac:dyDescent="0.2">
      <c r="A385" s="715" t="s">
        <v>518</v>
      </c>
      <c r="B385" s="716" t="s">
        <v>519</v>
      </c>
      <c r="C385" s="717" t="s">
        <v>531</v>
      </c>
      <c r="D385" s="718" t="s">
        <v>532</v>
      </c>
      <c r="E385" s="717" t="s">
        <v>2355</v>
      </c>
      <c r="F385" s="718" t="s">
        <v>2356</v>
      </c>
      <c r="G385" s="717" t="s">
        <v>2681</v>
      </c>
      <c r="H385" s="717" t="s">
        <v>2682</v>
      </c>
      <c r="I385" s="720">
        <v>13.289999961853027</v>
      </c>
      <c r="J385" s="720">
        <v>30</v>
      </c>
      <c r="K385" s="721">
        <v>398.69998168945313</v>
      </c>
    </row>
    <row r="386" spans="1:11" ht="14.45" customHeight="1" x14ac:dyDescent="0.2">
      <c r="A386" s="715" t="s">
        <v>518</v>
      </c>
      <c r="B386" s="716" t="s">
        <v>519</v>
      </c>
      <c r="C386" s="717" t="s">
        <v>531</v>
      </c>
      <c r="D386" s="718" t="s">
        <v>532</v>
      </c>
      <c r="E386" s="717" t="s">
        <v>2355</v>
      </c>
      <c r="F386" s="718" t="s">
        <v>2356</v>
      </c>
      <c r="G386" s="717" t="s">
        <v>2683</v>
      </c>
      <c r="H386" s="717" t="s">
        <v>2684</v>
      </c>
      <c r="I386" s="720">
        <v>13.363333384195963</v>
      </c>
      <c r="J386" s="720">
        <v>50</v>
      </c>
      <c r="K386" s="721">
        <v>668.10002136230469</v>
      </c>
    </row>
    <row r="387" spans="1:11" ht="14.45" customHeight="1" x14ac:dyDescent="0.2">
      <c r="A387" s="715" t="s">
        <v>518</v>
      </c>
      <c r="B387" s="716" t="s">
        <v>519</v>
      </c>
      <c r="C387" s="717" t="s">
        <v>531</v>
      </c>
      <c r="D387" s="718" t="s">
        <v>532</v>
      </c>
      <c r="E387" s="717" t="s">
        <v>2355</v>
      </c>
      <c r="F387" s="718" t="s">
        <v>2356</v>
      </c>
      <c r="G387" s="717" t="s">
        <v>2685</v>
      </c>
      <c r="H387" s="717" t="s">
        <v>2686</v>
      </c>
      <c r="I387" s="720">
        <v>13.825000286102295</v>
      </c>
      <c r="J387" s="720">
        <v>20</v>
      </c>
      <c r="K387" s="721">
        <v>276.5</v>
      </c>
    </row>
    <row r="388" spans="1:11" ht="14.45" customHeight="1" x14ac:dyDescent="0.2">
      <c r="A388" s="715" t="s">
        <v>518</v>
      </c>
      <c r="B388" s="716" t="s">
        <v>519</v>
      </c>
      <c r="C388" s="717" t="s">
        <v>531</v>
      </c>
      <c r="D388" s="718" t="s">
        <v>532</v>
      </c>
      <c r="E388" s="717" t="s">
        <v>2355</v>
      </c>
      <c r="F388" s="718" t="s">
        <v>2356</v>
      </c>
      <c r="G388" s="717" t="s">
        <v>2681</v>
      </c>
      <c r="H388" s="717" t="s">
        <v>2687</v>
      </c>
      <c r="I388" s="720">
        <v>11.409999847412109</v>
      </c>
      <c r="J388" s="720">
        <v>40</v>
      </c>
      <c r="K388" s="721">
        <v>456.39999389648438</v>
      </c>
    </row>
    <row r="389" spans="1:11" ht="14.45" customHeight="1" x14ac:dyDescent="0.2">
      <c r="A389" s="715" t="s">
        <v>518</v>
      </c>
      <c r="B389" s="716" t="s">
        <v>519</v>
      </c>
      <c r="C389" s="717" t="s">
        <v>531</v>
      </c>
      <c r="D389" s="718" t="s">
        <v>532</v>
      </c>
      <c r="E389" s="717" t="s">
        <v>2355</v>
      </c>
      <c r="F389" s="718" t="s">
        <v>2356</v>
      </c>
      <c r="G389" s="717" t="s">
        <v>2683</v>
      </c>
      <c r="H389" s="717" t="s">
        <v>2688</v>
      </c>
      <c r="I389" s="720">
        <v>12.300000190734863</v>
      </c>
      <c r="J389" s="720">
        <v>51</v>
      </c>
      <c r="K389" s="721">
        <v>642.87000274658203</v>
      </c>
    </row>
    <row r="390" spans="1:11" ht="14.45" customHeight="1" x14ac:dyDescent="0.2">
      <c r="A390" s="715" t="s">
        <v>518</v>
      </c>
      <c r="B390" s="716" t="s">
        <v>519</v>
      </c>
      <c r="C390" s="717" t="s">
        <v>531</v>
      </c>
      <c r="D390" s="718" t="s">
        <v>532</v>
      </c>
      <c r="E390" s="717" t="s">
        <v>2355</v>
      </c>
      <c r="F390" s="718" t="s">
        <v>2356</v>
      </c>
      <c r="G390" s="717" t="s">
        <v>2685</v>
      </c>
      <c r="H390" s="717" t="s">
        <v>2689</v>
      </c>
      <c r="I390" s="720">
        <v>6.6700000762939453</v>
      </c>
      <c r="J390" s="720">
        <v>30</v>
      </c>
      <c r="K390" s="721">
        <v>200.10000610351563</v>
      </c>
    </row>
    <row r="391" spans="1:11" ht="14.45" customHeight="1" x14ac:dyDescent="0.2">
      <c r="A391" s="715" t="s">
        <v>518</v>
      </c>
      <c r="B391" s="716" t="s">
        <v>519</v>
      </c>
      <c r="C391" s="717" t="s">
        <v>531</v>
      </c>
      <c r="D391" s="718" t="s">
        <v>532</v>
      </c>
      <c r="E391" s="717" t="s">
        <v>2355</v>
      </c>
      <c r="F391" s="718" t="s">
        <v>2356</v>
      </c>
      <c r="G391" s="717" t="s">
        <v>2690</v>
      </c>
      <c r="H391" s="717" t="s">
        <v>2691</v>
      </c>
      <c r="I391" s="720">
        <v>123.18000030517578</v>
      </c>
      <c r="J391" s="720">
        <v>150</v>
      </c>
      <c r="K391" s="721">
        <v>18476.69970703125</v>
      </c>
    </row>
    <row r="392" spans="1:11" ht="14.45" customHeight="1" x14ac:dyDescent="0.2">
      <c r="A392" s="715" t="s">
        <v>518</v>
      </c>
      <c r="B392" s="716" t="s">
        <v>519</v>
      </c>
      <c r="C392" s="717" t="s">
        <v>531</v>
      </c>
      <c r="D392" s="718" t="s">
        <v>532</v>
      </c>
      <c r="E392" s="717" t="s">
        <v>2355</v>
      </c>
      <c r="F392" s="718" t="s">
        <v>2356</v>
      </c>
      <c r="G392" s="717" t="s">
        <v>2690</v>
      </c>
      <c r="H392" s="717" t="s">
        <v>2692</v>
      </c>
      <c r="I392" s="720">
        <v>123.18000030517578</v>
      </c>
      <c r="J392" s="720">
        <v>150</v>
      </c>
      <c r="K392" s="721">
        <v>18476.69970703125</v>
      </c>
    </row>
    <row r="393" spans="1:11" ht="14.45" customHeight="1" x14ac:dyDescent="0.2">
      <c r="A393" s="715" t="s">
        <v>518</v>
      </c>
      <c r="B393" s="716" t="s">
        <v>519</v>
      </c>
      <c r="C393" s="717" t="s">
        <v>531</v>
      </c>
      <c r="D393" s="718" t="s">
        <v>532</v>
      </c>
      <c r="E393" s="717" t="s">
        <v>2355</v>
      </c>
      <c r="F393" s="718" t="s">
        <v>2356</v>
      </c>
      <c r="G393" s="717" t="s">
        <v>2693</v>
      </c>
      <c r="H393" s="717" t="s">
        <v>2694</v>
      </c>
      <c r="I393" s="720">
        <v>16.454999923706055</v>
      </c>
      <c r="J393" s="720">
        <v>40</v>
      </c>
      <c r="K393" s="721">
        <v>658.20001220703125</v>
      </c>
    </row>
    <row r="394" spans="1:11" ht="14.45" customHeight="1" x14ac:dyDescent="0.2">
      <c r="A394" s="715" t="s">
        <v>518</v>
      </c>
      <c r="B394" s="716" t="s">
        <v>519</v>
      </c>
      <c r="C394" s="717" t="s">
        <v>531</v>
      </c>
      <c r="D394" s="718" t="s">
        <v>532</v>
      </c>
      <c r="E394" s="717" t="s">
        <v>2355</v>
      </c>
      <c r="F394" s="718" t="s">
        <v>2356</v>
      </c>
      <c r="G394" s="717" t="s">
        <v>2693</v>
      </c>
      <c r="H394" s="717" t="s">
        <v>2695</v>
      </c>
      <c r="I394" s="720">
        <v>16.454999923706055</v>
      </c>
      <c r="J394" s="720">
        <v>400</v>
      </c>
      <c r="K394" s="721">
        <v>6581.5</v>
      </c>
    </row>
    <row r="395" spans="1:11" ht="14.45" customHeight="1" x14ac:dyDescent="0.2">
      <c r="A395" s="715" t="s">
        <v>518</v>
      </c>
      <c r="B395" s="716" t="s">
        <v>519</v>
      </c>
      <c r="C395" s="717" t="s">
        <v>531</v>
      </c>
      <c r="D395" s="718" t="s">
        <v>532</v>
      </c>
      <c r="E395" s="717" t="s">
        <v>2355</v>
      </c>
      <c r="F395" s="718" t="s">
        <v>2356</v>
      </c>
      <c r="G395" s="717" t="s">
        <v>2696</v>
      </c>
      <c r="H395" s="717" t="s">
        <v>2697</v>
      </c>
      <c r="I395" s="720">
        <v>3872</v>
      </c>
      <c r="J395" s="720">
        <v>4</v>
      </c>
      <c r="K395" s="721">
        <v>15488</v>
      </c>
    </row>
    <row r="396" spans="1:11" ht="14.45" customHeight="1" x14ac:dyDescent="0.2">
      <c r="A396" s="715" t="s">
        <v>518</v>
      </c>
      <c r="B396" s="716" t="s">
        <v>519</v>
      </c>
      <c r="C396" s="717" t="s">
        <v>531</v>
      </c>
      <c r="D396" s="718" t="s">
        <v>532</v>
      </c>
      <c r="E396" s="717" t="s">
        <v>2355</v>
      </c>
      <c r="F396" s="718" t="s">
        <v>2356</v>
      </c>
      <c r="G396" s="717" t="s">
        <v>2698</v>
      </c>
      <c r="H396" s="717" t="s">
        <v>2699</v>
      </c>
      <c r="I396" s="720">
        <v>10.609999656677246</v>
      </c>
      <c r="J396" s="720">
        <v>30</v>
      </c>
      <c r="K396" s="721">
        <v>318.29998779296875</v>
      </c>
    </row>
    <row r="397" spans="1:11" ht="14.45" customHeight="1" x14ac:dyDescent="0.2">
      <c r="A397" s="715" t="s">
        <v>518</v>
      </c>
      <c r="B397" s="716" t="s">
        <v>519</v>
      </c>
      <c r="C397" s="717" t="s">
        <v>531</v>
      </c>
      <c r="D397" s="718" t="s">
        <v>532</v>
      </c>
      <c r="E397" s="717" t="s">
        <v>2355</v>
      </c>
      <c r="F397" s="718" t="s">
        <v>2356</v>
      </c>
      <c r="G397" s="717" t="s">
        <v>2698</v>
      </c>
      <c r="H397" s="717" t="s">
        <v>2700</v>
      </c>
      <c r="I397" s="720">
        <v>11.059999942779541</v>
      </c>
      <c r="J397" s="720">
        <v>15</v>
      </c>
      <c r="K397" s="721">
        <v>166.75000381469727</v>
      </c>
    </row>
    <row r="398" spans="1:11" ht="14.45" customHeight="1" x14ac:dyDescent="0.2">
      <c r="A398" s="715" t="s">
        <v>518</v>
      </c>
      <c r="B398" s="716" t="s">
        <v>519</v>
      </c>
      <c r="C398" s="717" t="s">
        <v>531</v>
      </c>
      <c r="D398" s="718" t="s">
        <v>532</v>
      </c>
      <c r="E398" s="717" t="s">
        <v>2355</v>
      </c>
      <c r="F398" s="718" t="s">
        <v>2356</v>
      </c>
      <c r="G398" s="717" t="s">
        <v>2701</v>
      </c>
      <c r="H398" s="717" t="s">
        <v>2702</v>
      </c>
      <c r="I398" s="720">
        <v>23.350000381469727</v>
      </c>
      <c r="J398" s="720">
        <v>100</v>
      </c>
      <c r="K398" s="721">
        <v>2335.300048828125</v>
      </c>
    </row>
    <row r="399" spans="1:11" ht="14.45" customHeight="1" x14ac:dyDescent="0.2">
      <c r="A399" s="715" t="s">
        <v>518</v>
      </c>
      <c r="B399" s="716" t="s">
        <v>519</v>
      </c>
      <c r="C399" s="717" t="s">
        <v>531</v>
      </c>
      <c r="D399" s="718" t="s">
        <v>532</v>
      </c>
      <c r="E399" s="717" t="s">
        <v>2355</v>
      </c>
      <c r="F399" s="718" t="s">
        <v>2356</v>
      </c>
      <c r="G399" s="717" t="s">
        <v>2703</v>
      </c>
      <c r="H399" s="717" t="s">
        <v>2704</v>
      </c>
      <c r="I399" s="720">
        <v>12.100000381469727</v>
      </c>
      <c r="J399" s="720">
        <v>99</v>
      </c>
      <c r="K399" s="721">
        <v>1197.9000244140625</v>
      </c>
    </row>
    <row r="400" spans="1:11" ht="14.45" customHeight="1" x14ac:dyDescent="0.2">
      <c r="A400" s="715" t="s">
        <v>518</v>
      </c>
      <c r="B400" s="716" t="s">
        <v>519</v>
      </c>
      <c r="C400" s="717" t="s">
        <v>531</v>
      </c>
      <c r="D400" s="718" t="s">
        <v>532</v>
      </c>
      <c r="E400" s="717" t="s">
        <v>2355</v>
      </c>
      <c r="F400" s="718" t="s">
        <v>2356</v>
      </c>
      <c r="G400" s="717" t="s">
        <v>2705</v>
      </c>
      <c r="H400" s="717" t="s">
        <v>2706</v>
      </c>
      <c r="I400" s="720">
        <v>11.309999942779541</v>
      </c>
      <c r="J400" s="720">
        <v>20</v>
      </c>
      <c r="K400" s="721">
        <v>226.19999694824219</v>
      </c>
    </row>
    <row r="401" spans="1:11" ht="14.45" customHeight="1" x14ac:dyDescent="0.2">
      <c r="A401" s="715" t="s">
        <v>518</v>
      </c>
      <c r="B401" s="716" t="s">
        <v>519</v>
      </c>
      <c r="C401" s="717" t="s">
        <v>531</v>
      </c>
      <c r="D401" s="718" t="s">
        <v>532</v>
      </c>
      <c r="E401" s="717" t="s">
        <v>2355</v>
      </c>
      <c r="F401" s="718" t="s">
        <v>2356</v>
      </c>
      <c r="G401" s="717" t="s">
        <v>2707</v>
      </c>
      <c r="H401" s="717" t="s">
        <v>2708</v>
      </c>
      <c r="I401" s="720">
        <v>197.57000732421875</v>
      </c>
      <c r="J401" s="720">
        <v>90</v>
      </c>
      <c r="K401" s="721">
        <v>17781.300659179688</v>
      </c>
    </row>
    <row r="402" spans="1:11" ht="14.45" customHeight="1" x14ac:dyDescent="0.2">
      <c r="A402" s="715" t="s">
        <v>518</v>
      </c>
      <c r="B402" s="716" t="s">
        <v>519</v>
      </c>
      <c r="C402" s="717" t="s">
        <v>531</v>
      </c>
      <c r="D402" s="718" t="s">
        <v>532</v>
      </c>
      <c r="E402" s="717" t="s">
        <v>2355</v>
      </c>
      <c r="F402" s="718" t="s">
        <v>2356</v>
      </c>
      <c r="G402" s="717" t="s">
        <v>2707</v>
      </c>
      <c r="H402" s="717" t="s">
        <v>2709</v>
      </c>
      <c r="I402" s="720">
        <v>197.57000732421875</v>
      </c>
      <c r="J402" s="720">
        <v>48</v>
      </c>
      <c r="K402" s="721">
        <v>9483.3603515625</v>
      </c>
    </row>
    <row r="403" spans="1:11" ht="14.45" customHeight="1" x14ac:dyDescent="0.2">
      <c r="A403" s="715" t="s">
        <v>518</v>
      </c>
      <c r="B403" s="716" t="s">
        <v>519</v>
      </c>
      <c r="C403" s="717" t="s">
        <v>531</v>
      </c>
      <c r="D403" s="718" t="s">
        <v>532</v>
      </c>
      <c r="E403" s="717" t="s">
        <v>2355</v>
      </c>
      <c r="F403" s="718" t="s">
        <v>2356</v>
      </c>
      <c r="G403" s="717" t="s">
        <v>2707</v>
      </c>
      <c r="H403" s="717" t="s">
        <v>2710</v>
      </c>
      <c r="I403" s="720">
        <v>197.57000732421875</v>
      </c>
      <c r="J403" s="720">
        <v>12</v>
      </c>
      <c r="K403" s="721">
        <v>2370.840087890625</v>
      </c>
    </row>
    <row r="404" spans="1:11" ht="14.45" customHeight="1" x14ac:dyDescent="0.2">
      <c r="A404" s="715" t="s">
        <v>518</v>
      </c>
      <c r="B404" s="716" t="s">
        <v>519</v>
      </c>
      <c r="C404" s="717" t="s">
        <v>531</v>
      </c>
      <c r="D404" s="718" t="s">
        <v>532</v>
      </c>
      <c r="E404" s="717" t="s">
        <v>2355</v>
      </c>
      <c r="F404" s="718" t="s">
        <v>2356</v>
      </c>
      <c r="G404" s="717" t="s">
        <v>2711</v>
      </c>
      <c r="H404" s="717" t="s">
        <v>2712</v>
      </c>
      <c r="I404" s="720">
        <v>0.82333332300186157</v>
      </c>
      <c r="J404" s="720">
        <v>7400</v>
      </c>
      <c r="K404" s="721">
        <v>6104</v>
      </c>
    </row>
    <row r="405" spans="1:11" ht="14.45" customHeight="1" x14ac:dyDescent="0.2">
      <c r="A405" s="715" t="s">
        <v>518</v>
      </c>
      <c r="B405" s="716" t="s">
        <v>519</v>
      </c>
      <c r="C405" s="717" t="s">
        <v>531</v>
      </c>
      <c r="D405" s="718" t="s">
        <v>532</v>
      </c>
      <c r="E405" s="717" t="s">
        <v>2355</v>
      </c>
      <c r="F405" s="718" t="s">
        <v>2356</v>
      </c>
      <c r="G405" s="717" t="s">
        <v>2713</v>
      </c>
      <c r="H405" s="717" t="s">
        <v>2714</v>
      </c>
      <c r="I405" s="720">
        <v>1.0866667032241821</v>
      </c>
      <c r="J405" s="720">
        <v>6200</v>
      </c>
      <c r="K405" s="721">
        <v>6738</v>
      </c>
    </row>
    <row r="406" spans="1:11" ht="14.45" customHeight="1" x14ac:dyDescent="0.2">
      <c r="A406" s="715" t="s">
        <v>518</v>
      </c>
      <c r="B406" s="716" t="s">
        <v>519</v>
      </c>
      <c r="C406" s="717" t="s">
        <v>531</v>
      </c>
      <c r="D406" s="718" t="s">
        <v>532</v>
      </c>
      <c r="E406" s="717" t="s">
        <v>2355</v>
      </c>
      <c r="F406" s="718" t="s">
        <v>2356</v>
      </c>
      <c r="G406" s="717" t="s">
        <v>2713</v>
      </c>
      <c r="H406" s="717" t="s">
        <v>2715</v>
      </c>
      <c r="I406" s="720">
        <v>1.0900000333786011</v>
      </c>
      <c r="J406" s="720">
        <v>1200</v>
      </c>
      <c r="K406" s="721">
        <v>1308</v>
      </c>
    </row>
    <row r="407" spans="1:11" ht="14.45" customHeight="1" x14ac:dyDescent="0.2">
      <c r="A407" s="715" t="s">
        <v>518</v>
      </c>
      <c r="B407" s="716" t="s">
        <v>519</v>
      </c>
      <c r="C407" s="717" t="s">
        <v>531</v>
      </c>
      <c r="D407" s="718" t="s">
        <v>532</v>
      </c>
      <c r="E407" s="717" t="s">
        <v>2355</v>
      </c>
      <c r="F407" s="718" t="s">
        <v>2356</v>
      </c>
      <c r="G407" s="717" t="s">
        <v>2716</v>
      </c>
      <c r="H407" s="717" t="s">
        <v>2717</v>
      </c>
      <c r="I407" s="720">
        <v>0.43333333730697632</v>
      </c>
      <c r="J407" s="720">
        <v>3000</v>
      </c>
      <c r="K407" s="721">
        <v>1300</v>
      </c>
    </row>
    <row r="408" spans="1:11" ht="14.45" customHeight="1" x14ac:dyDescent="0.2">
      <c r="A408" s="715" t="s">
        <v>518</v>
      </c>
      <c r="B408" s="716" t="s">
        <v>519</v>
      </c>
      <c r="C408" s="717" t="s">
        <v>531</v>
      </c>
      <c r="D408" s="718" t="s">
        <v>532</v>
      </c>
      <c r="E408" s="717" t="s">
        <v>2355</v>
      </c>
      <c r="F408" s="718" t="s">
        <v>2356</v>
      </c>
      <c r="G408" s="717" t="s">
        <v>2718</v>
      </c>
      <c r="H408" s="717" t="s">
        <v>2719</v>
      </c>
      <c r="I408" s="720">
        <v>0.4699999988079071</v>
      </c>
      <c r="J408" s="720">
        <v>2500</v>
      </c>
      <c r="K408" s="721">
        <v>1175</v>
      </c>
    </row>
    <row r="409" spans="1:11" ht="14.45" customHeight="1" x14ac:dyDescent="0.2">
      <c r="A409" s="715" t="s">
        <v>518</v>
      </c>
      <c r="B409" s="716" t="s">
        <v>519</v>
      </c>
      <c r="C409" s="717" t="s">
        <v>531</v>
      </c>
      <c r="D409" s="718" t="s">
        <v>532</v>
      </c>
      <c r="E409" s="717" t="s">
        <v>2355</v>
      </c>
      <c r="F409" s="718" t="s">
        <v>2356</v>
      </c>
      <c r="G409" s="717" t="s">
        <v>2720</v>
      </c>
      <c r="H409" s="717" t="s">
        <v>2721</v>
      </c>
      <c r="I409" s="720">
        <v>1.1319999933242797</v>
      </c>
      <c r="J409" s="720">
        <v>8160</v>
      </c>
      <c r="K409" s="721">
        <v>9214.3999938964844</v>
      </c>
    </row>
    <row r="410" spans="1:11" ht="14.45" customHeight="1" x14ac:dyDescent="0.2">
      <c r="A410" s="715" t="s">
        <v>518</v>
      </c>
      <c r="B410" s="716" t="s">
        <v>519</v>
      </c>
      <c r="C410" s="717" t="s">
        <v>531</v>
      </c>
      <c r="D410" s="718" t="s">
        <v>532</v>
      </c>
      <c r="E410" s="717" t="s">
        <v>2355</v>
      </c>
      <c r="F410" s="718" t="s">
        <v>2356</v>
      </c>
      <c r="G410" s="717" t="s">
        <v>2722</v>
      </c>
      <c r="H410" s="717" t="s">
        <v>2723</v>
      </c>
      <c r="I410" s="720">
        <v>1.6749999523162842</v>
      </c>
      <c r="J410" s="720">
        <v>3200</v>
      </c>
      <c r="K410" s="721">
        <v>5352</v>
      </c>
    </row>
    <row r="411" spans="1:11" ht="14.45" customHeight="1" x14ac:dyDescent="0.2">
      <c r="A411" s="715" t="s">
        <v>518</v>
      </c>
      <c r="B411" s="716" t="s">
        <v>519</v>
      </c>
      <c r="C411" s="717" t="s">
        <v>531</v>
      </c>
      <c r="D411" s="718" t="s">
        <v>532</v>
      </c>
      <c r="E411" s="717" t="s">
        <v>2355</v>
      </c>
      <c r="F411" s="718" t="s">
        <v>2356</v>
      </c>
      <c r="G411" s="717" t="s">
        <v>2724</v>
      </c>
      <c r="H411" s="717" t="s">
        <v>2725</v>
      </c>
      <c r="I411" s="720">
        <v>0.57999998331069946</v>
      </c>
      <c r="J411" s="720">
        <v>2800</v>
      </c>
      <c r="K411" s="721">
        <v>1624</v>
      </c>
    </row>
    <row r="412" spans="1:11" ht="14.45" customHeight="1" x14ac:dyDescent="0.2">
      <c r="A412" s="715" t="s">
        <v>518</v>
      </c>
      <c r="B412" s="716" t="s">
        <v>519</v>
      </c>
      <c r="C412" s="717" t="s">
        <v>531</v>
      </c>
      <c r="D412" s="718" t="s">
        <v>532</v>
      </c>
      <c r="E412" s="717" t="s">
        <v>2355</v>
      </c>
      <c r="F412" s="718" t="s">
        <v>2356</v>
      </c>
      <c r="G412" s="717" t="s">
        <v>2726</v>
      </c>
      <c r="H412" s="717" t="s">
        <v>2727</v>
      </c>
      <c r="I412" s="720">
        <v>0.67000001668930054</v>
      </c>
      <c r="J412" s="720">
        <v>300</v>
      </c>
      <c r="K412" s="721">
        <v>201</v>
      </c>
    </row>
    <row r="413" spans="1:11" ht="14.45" customHeight="1" x14ac:dyDescent="0.2">
      <c r="A413" s="715" t="s">
        <v>518</v>
      </c>
      <c r="B413" s="716" t="s">
        <v>519</v>
      </c>
      <c r="C413" s="717" t="s">
        <v>531</v>
      </c>
      <c r="D413" s="718" t="s">
        <v>532</v>
      </c>
      <c r="E413" s="717" t="s">
        <v>2355</v>
      </c>
      <c r="F413" s="718" t="s">
        <v>2356</v>
      </c>
      <c r="G413" s="717" t="s">
        <v>2726</v>
      </c>
      <c r="H413" s="717" t="s">
        <v>2728</v>
      </c>
      <c r="I413" s="720">
        <v>0.67000001668930054</v>
      </c>
      <c r="J413" s="720">
        <v>300</v>
      </c>
      <c r="K413" s="721">
        <v>201</v>
      </c>
    </row>
    <row r="414" spans="1:11" ht="14.45" customHeight="1" x14ac:dyDescent="0.2">
      <c r="A414" s="715" t="s">
        <v>518</v>
      </c>
      <c r="B414" s="716" t="s">
        <v>519</v>
      </c>
      <c r="C414" s="717" t="s">
        <v>531</v>
      </c>
      <c r="D414" s="718" t="s">
        <v>532</v>
      </c>
      <c r="E414" s="717" t="s">
        <v>2355</v>
      </c>
      <c r="F414" s="718" t="s">
        <v>2356</v>
      </c>
      <c r="G414" s="717" t="s">
        <v>2729</v>
      </c>
      <c r="H414" s="717" t="s">
        <v>2730</v>
      </c>
      <c r="I414" s="720">
        <v>1.5</v>
      </c>
      <c r="J414" s="720">
        <v>2000</v>
      </c>
      <c r="K414" s="721">
        <v>3000</v>
      </c>
    </row>
    <row r="415" spans="1:11" ht="14.45" customHeight="1" x14ac:dyDescent="0.2">
      <c r="A415" s="715" t="s">
        <v>518</v>
      </c>
      <c r="B415" s="716" t="s">
        <v>519</v>
      </c>
      <c r="C415" s="717" t="s">
        <v>531</v>
      </c>
      <c r="D415" s="718" t="s">
        <v>532</v>
      </c>
      <c r="E415" s="717" t="s">
        <v>2355</v>
      </c>
      <c r="F415" s="718" t="s">
        <v>2356</v>
      </c>
      <c r="G415" s="717" t="s">
        <v>2731</v>
      </c>
      <c r="H415" s="717" t="s">
        <v>2732</v>
      </c>
      <c r="I415" s="720">
        <v>5.2033332188924151</v>
      </c>
      <c r="J415" s="720">
        <v>7690</v>
      </c>
      <c r="K415" s="721">
        <v>40014.3798828125</v>
      </c>
    </row>
    <row r="416" spans="1:11" ht="14.45" customHeight="1" x14ac:dyDescent="0.2">
      <c r="A416" s="715" t="s">
        <v>518</v>
      </c>
      <c r="B416" s="716" t="s">
        <v>519</v>
      </c>
      <c r="C416" s="717" t="s">
        <v>531</v>
      </c>
      <c r="D416" s="718" t="s">
        <v>532</v>
      </c>
      <c r="E416" s="717" t="s">
        <v>2355</v>
      </c>
      <c r="F416" s="718" t="s">
        <v>2356</v>
      </c>
      <c r="G416" s="717" t="s">
        <v>2733</v>
      </c>
      <c r="H416" s="717" t="s">
        <v>2734</v>
      </c>
      <c r="I416" s="720">
        <v>8.8316666285196934</v>
      </c>
      <c r="J416" s="720">
        <v>1500</v>
      </c>
      <c r="K416" s="721">
        <v>13248</v>
      </c>
    </row>
    <row r="417" spans="1:11" ht="14.45" customHeight="1" x14ac:dyDescent="0.2">
      <c r="A417" s="715" t="s">
        <v>518</v>
      </c>
      <c r="B417" s="716" t="s">
        <v>519</v>
      </c>
      <c r="C417" s="717" t="s">
        <v>531</v>
      </c>
      <c r="D417" s="718" t="s">
        <v>532</v>
      </c>
      <c r="E417" s="717" t="s">
        <v>2355</v>
      </c>
      <c r="F417" s="718" t="s">
        <v>2356</v>
      </c>
      <c r="G417" s="717" t="s">
        <v>2735</v>
      </c>
      <c r="H417" s="717" t="s">
        <v>2736</v>
      </c>
      <c r="I417" s="720">
        <v>30.129999160766602</v>
      </c>
      <c r="J417" s="720">
        <v>50</v>
      </c>
      <c r="K417" s="721">
        <v>1506.449951171875</v>
      </c>
    </row>
    <row r="418" spans="1:11" ht="14.45" customHeight="1" x14ac:dyDescent="0.2">
      <c r="A418" s="715" t="s">
        <v>518</v>
      </c>
      <c r="B418" s="716" t="s">
        <v>519</v>
      </c>
      <c r="C418" s="717" t="s">
        <v>531</v>
      </c>
      <c r="D418" s="718" t="s">
        <v>532</v>
      </c>
      <c r="E418" s="717" t="s">
        <v>2355</v>
      </c>
      <c r="F418" s="718" t="s">
        <v>2356</v>
      </c>
      <c r="G418" s="717" t="s">
        <v>2737</v>
      </c>
      <c r="H418" s="717" t="s">
        <v>2738</v>
      </c>
      <c r="I418" s="720">
        <v>1.5533332824707031</v>
      </c>
      <c r="J418" s="720">
        <v>1900</v>
      </c>
      <c r="K418" s="721">
        <v>2951</v>
      </c>
    </row>
    <row r="419" spans="1:11" ht="14.45" customHeight="1" x14ac:dyDescent="0.2">
      <c r="A419" s="715" t="s">
        <v>518</v>
      </c>
      <c r="B419" s="716" t="s">
        <v>519</v>
      </c>
      <c r="C419" s="717" t="s">
        <v>531</v>
      </c>
      <c r="D419" s="718" t="s">
        <v>532</v>
      </c>
      <c r="E419" s="717" t="s">
        <v>2355</v>
      </c>
      <c r="F419" s="718" t="s">
        <v>2356</v>
      </c>
      <c r="G419" s="717" t="s">
        <v>2739</v>
      </c>
      <c r="H419" s="717" t="s">
        <v>2740</v>
      </c>
      <c r="I419" s="720">
        <v>6.2316666444142657</v>
      </c>
      <c r="J419" s="720">
        <v>650</v>
      </c>
      <c r="K419" s="721">
        <v>4050.5</v>
      </c>
    </row>
    <row r="420" spans="1:11" ht="14.45" customHeight="1" x14ac:dyDescent="0.2">
      <c r="A420" s="715" t="s">
        <v>518</v>
      </c>
      <c r="B420" s="716" t="s">
        <v>519</v>
      </c>
      <c r="C420" s="717" t="s">
        <v>531</v>
      </c>
      <c r="D420" s="718" t="s">
        <v>532</v>
      </c>
      <c r="E420" s="717" t="s">
        <v>2355</v>
      </c>
      <c r="F420" s="718" t="s">
        <v>2356</v>
      </c>
      <c r="G420" s="717" t="s">
        <v>2741</v>
      </c>
      <c r="H420" s="717" t="s">
        <v>2742</v>
      </c>
      <c r="I420" s="720">
        <v>121</v>
      </c>
      <c r="J420" s="720">
        <v>1</v>
      </c>
      <c r="K420" s="721">
        <v>121</v>
      </c>
    </row>
    <row r="421" spans="1:11" ht="14.45" customHeight="1" x14ac:dyDescent="0.2">
      <c r="A421" s="715" t="s">
        <v>518</v>
      </c>
      <c r="B421" s="716" t="s">
        <v>519</v>
      </c>
      <c r="C421" s="717" t="s">
        <v>531</v>
      </c>
      <c r="D421" s="718" t="s">
        <v>532</v>
      </c>
      <c r="E421" s="717" t="s">
        <v>2355</v>
      </c>
      <c r="F421" s="718" t="s">
        <v>2356</v>
      </c>
      <c r="G421" s="717" t="s">
        <v>2713</v>
      </c>
      <c r="H421" s="717" t="s">
        <v>2743</v>
      </c>
      <c r="I421" s="720">
        <v>1.0900000333786011</v>
      </c>
      <c r="J421" s="720">
        <v>17400</v>
      </c>
      <c r="K421" s="721">
        <v>18966</v>
      </c>
    </row>
    <row r="422" spans="1:11" ht="14.45" customHeight="1" x14ac:dyDescent="0.2">
      <c r="A422" s="715" t="s">
        <v>518</v>
      </c>
      <c r="B422" s="716" t="s">
        <v>519</v>
      </c>
      <c r="C422" s="717" t="s">
        <v>531</v>
      </c>
      <c r="D422" s="718" t="s">
        <v>532</v>
      </c>
      <c r="E422" s="717" t="s">
        <v>2355</v>
      </c>
      <c r="F422" s="718" t="s">
        <v>2356</v>
      </c>
      <c r="G422" s="717" t="s">
        <v>2718</v>
      </c>
      <c r="H422" s="717" t="s">
        <v>2744</v>
      </c>
      <c r="I422" s="720">
        <v>0.47714284913880484</v>
      </c>
      <c r="J422" s="720">
        <v>16500</v>
      </c>
      <c r="K422" s="721">
        <v>7869.9999694824219</v>
      </c>
    </row>
    <row r="423" spans="1:11" ht="14.45" customHeight="1" x14ac:dyDescent="0.2">
      <c r="A423" s="715" t="s">
        <v>518</v>
      </c>
      <c r="B423" s="716" t="s">
        <v>519</v>
      </c>
      <c r="C423" s="717" t="s">
        <v>531</v>
      </c>
      <c r="D423" s="718" t="s">
        <v>532</v>
      </c>
      <c r="E423" s="717" t="s">
        <v>2355</v>
      </c>
      <c r="F423" s="718" t="s">
        <v>2356</v>
      </c>
      <c r="G423" s="717" t="s">
        <v>2722</v>
      </c>
      <c r="H423" s="717" t="s">
        <v>2745</v>
      </c>
      <c r="I423" s="720">
        <v>1.6714285271508353</v>
      </c>
      <c r="J423" s="720">
        <v>16500</v>
      </c>
      <c r="K423" s="721">
        <v>27563</v>
      </c>
    </row>
    <row r="424" spans="1:11" ht="14.45" customHeight="1" x14ac:dyDescent="0.2">
      <c r="A424" s="715" t="s">
        <v>518</v>
      </c>
      <c r="B424" s="716" t="s">
        <v>519</v>
      </c>
      <c r="C424" s="717" t="s">
        <v>531</v>
      </c>
      <c r="D424" s="718" t="s">
        <v>532</v>
      </c>
      <c r="E424" s="717" t="s">
        <v>2355</v>
      </c>
      <c r="F424" s="718" t="s">
        <v>2356</v>
      </c>
      <c r="G424" s="717" t="s">
        <v>2726</v>
      </c>
      <c r="H424" s="717" t="s">
        <v>2746</v>
      </c>
      <c r="I424" s="720">
        <v>0.67000001668930054</v>
      </c>
      <c r="J424" s="720">
        <v>7500</v>
      </c>
      <c r="K424" s="721">
        <v>5025</v>
      </c>
    </row>
    <row r="425" spans="1:11" ht="14.45" customHeight="1" x14ac:dyDescent="0.2">
      <c r="A425" s="715" t="s">
        <v>518</v>
      </c>
      <c r="B425" s="716" t="s">
        <v>519</v>
      </c>
      <c r="C425" s="717" t="s">
        <v>531</v>
      </c>
      <c r="D425" s="718" t="s">
        <v>532</v>
      </c>
      <c r="E425" s="717" t="s">
        <v>2355</v>
      </c>
      <c r="F425" s="718" t="s">
        <v>2356</v>
      </c>
      <c r="G425" s="717" t="s">
        <v>2729</v>
      </c>
      <c r="H425" s="717" t="s">
        <v>2747</v>
      </c>
      <c r="I425" s="720">
        <v>1.5</v>
      </c>
      <c r="J425" s="720">
        <v>2400</v>
      </c>
      <c r="K425" s="721">
        <v>3600</v>
      </c>
    </row>
    <row r="426" spans="1:11" ht="14.45" customHeight="1" x14ac:dyDescent="0.2">
      <c r="A426" s="715" t="s">
        <v>518</v>
      </c>
      <c r="B426" s="716" t="s">
        <v>519</v>
      </c>
      <c r="C426" s="717" t="s">
        <v>531</v>
      </c>
      <c r="D426" s="718" t="s">
        <v>532</v>
      </c>
      <c r="E426" s="717" t="s">
        <v>2355</v>
      </c>
      <c r="F426" s="718" t="s">
        <v>2356</v>
      </c>
      <c r="G426" s="717" t="s">
        <v>2731</v>
      </c>
      <c r="H426" s="717" t="s">
        <v>2748</v>
      </c>
      <c r="I426" s="720">
        <v>5.2014284133911133</v>
      </c>
      <c r="J426" s="720">
        <v>9245</v>
      </c>
      <c r="K426" s="721">
        <v>48089.670166015625</v>
      </c>
    </row>
    <row r="427" spans="1:11" ht="14.45" customHeight="1" x14ac:dyDescent="0.2">
      <c r="A427" s="715" t="s">
        <v>518</v>
      </c>
      <c r="B427" s="716" t="s">
        <v>519</v>
      </c>
      <c r="C427" s="717" t="s">
        <v>531</v>
      </c>
      <c r="D427" s="718" t="s">
        <v>532</v>
      </c>
      <c r="E427" s="717" t="s">
        <v>2355</v>
      </c>
      <c r="F427" s="718" t="s">
        <v>2356</v>
      </c>
      <c r="G427" s="717" t="s">
        <v>2733</v>
      </c>
      <c r="H427" s="717" t="s">
        <v>2749</v>
      </c>
      <c r="I427" s="720">
        <v>8.8350000381469727</v>
      </c>
      <c r="J427" s="720">
        <v>2600</v>
      </c>
      <c r="K427" s="721">
        <v>22973</v>
      </c>
    </row>
    <row r="428" spans="1:11" ht="14.45" customHeight="1" x14ac:dyDescent="0.2">
      <c r="A428" s="715" t="s">
        <v>518</v>
      </c>
      <c r="B428" s="716" t="s">
        <v>519</v>
      </c>
      <c r="C428" s="717" t="s">
        <v>531</v>
      </c>
      <c r="D428" s="718" t="s">
        <v>532</v>
      </c>
      <c r="E428" s="717" t="s">
        <v>2355</v>
      </c>
      <c r="F428" s="718" t="s">
        <v>2356</v>
      </c>
      <c r="G428" s="717" t="s">
        <v>2735</v>
      </c>
      <c r="H428" s="717" t="s">
        <v>2750</v>
      </c>
      <c r="I428" s="720">
        <v>30.129999160766602</v>
      </c>
      <c r="J428" s="720">
        <v>300</v>
      </c>
      <c r="K428" s="721">
        <v>9038.820068359375</v>
      </c>
    </row>
    <row r="429" spans="1:11" ht="14.45" customHeight="1" x14ac:dyDescent="0.2">
      <c r="A429" s="715" t="s">
        <v>518</v>
      </c>
      <c r="B429" s="716" t="s">
        <v>519</v>
      </c>
      <c r="C429" s="717" t="s">
        <v>531</v>
      </c>
      <c r="D429" s="718" t="s">
        <v>532</v>
      </c>
      <c r="E429" s="717" t="s">
        <v>2355</v>
      </c>
      <c r="F429" s="718" t="s">
        <v>2356</v>
      </c>
      <c r="G429" s="717" t="s">
        <v>2751</v>
      </c>
      <c r="H429" s="717" t="s">
        <v>2752</v>
      </c>
      <c r="I429" s="720">
        <v>9.4399995803833008</v>
      </c>
      <c r="J429" s="720">
        <v>200</v>
      </c>
      <c r="K429" s="721">
        <v>1888</v>
      </c>
    </row>
    <row r="430" spans="1:11" ht="14.45" customHeight="1" x14ac:dyDescent="0.2">
      <c r="A430" s="715" t="s">
        <v>518</v>
      </c>
      <c r="B430" s="716" t="s">
        <v>519</v>
      </c>
      <c r="C430" s="717" t="s">
        <v>531</v>
      </c>
      <c r="D430" s="718" t="s">
        <v>532</v>
      </c>
      <c r="E430" s="717" t="s">
        <v>2355</v>
      </c>
      <c r="F430" s="718" t="s">
        <v>2356</v>
      </c>
      <c r="G430" s="717" t="s">
        <v>2737</v>
      </c>
      <c r="H430" s="717" t="s">
        <v>2753</v>
      </c>
      <c r="I430" s="720">
        <v>1.5499999523162842</v>
      </c>
      <c r="J430" s="720">
        <v>1600</v>
      </c>
      <c r="K430" s="721">
        <v>2480</v>
      </c>
    </row>
    <row r="431" spans="1:11" ht="14.45" customHeight="1" x14ac:dyDescent="0.2">
      <c r="A431" s="715" t="s">
        <v>518</v>
      </c>
      <c r="B431" s="716" t="s">
        <v>519</v>
      </c>
      <c r="C431" s="717" t="s">
        <v>531</v>
      </c>
      <c r="D431" s="718" t="s">
        <v>532</v>
      </c>
      <c r="E431" s="717" t="s">
        <v>2355</v>
      </c>
      <c r="F431" s="718" t="s">
        <v>2356</v>
      </c>
      <c r="G431" s="717" t="s">
        <v>2739</v>
      </c>
      <c r="H431" s="717" t="s">
        <v>2754</v>
      </c>
      <c r="I431" s="720">
        <v>6.2300000190734863</v>
      </c>
      <c r="J431" s="720">
        <v>1475</v>
      </c>
      <c r="K431" s="721">
        <v>9189.25</v>
      </c>
    </row>
    <row r="432" spans="1:11" ht="14.45" customHeight="1" x14ac:dyDescent="0.2">
      <c r="A432" s="715" t="s">
        <v>518</v>
      </c>
      <c r="B432" s="716" t="s">
        <v>519</v>
      </c>
      <c r="C432" s="717" t="s">
        <v>531</v>
      </c>
      <c r="D432" s="718" t="s">
        <v>532</v>
      </c>
      <c r="E432" s="717" t="s">
        <v>2355</v>
      </c>
      <c r="F432" s="718" t="s">
        <v>2356</v>
      </c>
      <c r="G432" s="717" t="s">
        <v>2755</v>
      </c>
      <c r="H432" s="717" t="s">
        <v>2756</v>
      </c>
      <c r="I432" s="720">
        <v>1403.5999755859375</v>
      </c>
      <c r="J432" s="720">
        <v>35</v>
      </c>
      <c r="K432" s="721">
        <v>49126</v>
      </c>
    </row>
    <row r="433" spans="1:11" ht="14.45" customHeight="1" x14ac:dyDescent="0.2">
      <c r="A433" s="715" t="s">
        <v>518</v>
      </c>
      <c r="B433" s="716" t="s">
        <v>519</v>
      </c>
      <c r="C433" s="717" t="s">
        <v>531</v>
      </c>
      <c r="D433" s="718" t="s">
        <v>532</v>
      </c>
      <c r="E433" s="717" t="s">
        <v>2355</v>
      </c>
      <c r="F433" s="718" t="s">
        <v>2356</v>
      </c>
      <c r="G433" s="717" t="s">
        <v>2757</v>
      </c>
      <c r="H433" s="717" t="s">
        <v>2758</v>
      </c>
      <c r="I433" s="720">
        <v>1645.5999755859375</v>
      </c>
      <c r="J433" s="720">
        <v>20</v>
      </c>
      <c r="K433" s="721">
        <v>32912</v>
      </c>
    </row>
    <row r="434" spans="1:11" ht="14.45" customHeight="1" x14ac:dyDescent="0.2">
      <c r="A434" s="715" t="s">
        <v>518</v>
      </c>
      <c r="B434" s="716" t="s">
        <v>519</v>
      </c>
      <c r="C434" s="717" t="s">
        <v>531</v>
      </c>
      <c r="D434" s="718" t="s">
        <v>532</v>
      </c>
      <c r="E434" s="717" t="s">
        <v>2355</v>
      </c>
      <c r="F434" s="718" t="s">
        <v>2356</v>
      </c>
      <c r="G434" s="717" t="s">
        <v>2759</v>
      </c>
      <c r="H434" s="717" t="s">
        <v>2760</v>
      </c>
      <c r="I434" s="720">
        <v>229.89999389648438</v>
      </c>
      <c r="J434" s="720">
        <v>180</v>
      </c>
      <c r="K434" s="721">
        <v>41382</v>
      </c>
    </row>
    <row r="435" spans="1:11" ht="14.45" customHeight="1" x14ac:dyDescent="0.2">
      <c r="A435" s="715" t="s">
        <v>518</v>
      </c>
      <c r="B435" s="716" t="s">
        <v>519</v>
      </c>
      <c r="C435" s="717" t="s">
        <v>531</v>
      </c>
      <c r="D435" s="718" t="s">
        <v>532</v>
      </c>
      <c r="E435" s="717" t="s">
        <v>2355</v>
      </c>
      <c r="F435" s="718" t="s">
        <v>2356</v>
      </c>
      <c r="G435" s="717" t="s">
        <v>2761</v>
      </c>
      <c r="H435" s="717" t="s">
        <v>2762</v>
      </c>
      <c r="I435" s="720">
        <v>193.60000610351563</v>
      </c>
      <c r="J435" s="720">
        <v>30</v>
      </c>
      <c r="K435" s="721">
        <v>5808</v>
      </c>
    </row>
    <row r="436" spans="1:11" ht="14.45" customHeight="1" x14ac:dyDescent="0.2">
      <c r="A436" s="715" t="s">
        <v>518</v>
      </c>
      <c r="B436" s="716" t="s">
        <v>519</v>
      </c>
      <c r="C436" s="717" t="s">
        <v>531</v>
      </c>
      <c r="D436" s="718" t="s">
        <v>532</v>
      </c>
      <c r="E436" s="717" t="s">
        <v>2355</v>
      </c>
      <c r="F436" s="718" t="s">
        <v>2356</v>
      </c>
      <c r="G436" s="717" t="s">
        <v>2763</v>
      </c>
      <c r="H436" s="717" t="s">
        <v>2764</v>
      </c>
      <c r="I436" s="720">
        <v>1140.4300537109375</v>
      </c>
      <c r="J436" s="720">
        <v>13</v>
      </c>
      <c r="K436" s="721">
        <v>14825.539794921875</v>
      </c>
    </row>
    <row r="437" spans="1:11" ht="14.45" customHeight="1" x14ac:dyDescent="0.2">
      <c r="A437" s="715" t="s">
        <v>518</v>
      </c>
      <c r="B437" s="716" t="s">
        <v>519</v>
      </c>
      <c r="C437" s="717" t="s">
        <v>531</v>
      </c>
      <c r="D437" s="718" t="s">
        <v>532</v>
      </c>
      <c r="E437" s="717" t="s">
        <v>2355</v>
      </c>
      <c r="F437" s="718" t="s">
        <v>2356</v>
      </c>
      <c r="G437" s="717" t="s">
        <v>2765</v>
      </c>
      <c r="H437" s="717" t="s">
        <v>2766</v>
      </c>
      <c r="I437" s="720">
        <v>1652.8599853515625</v>
      </c>
      <c r="J437" s="720">
        <v>8</v>
      </c>
      <c r="K437" s="721">
        <v>13222.8798828125</v>
      </c>
    </row>
    <row r="438" spans="1:11" ht="14.45" customHeight="1" x14ac:dyDescent="0.2">
      <c r="A438" s="715" t="s">
        <v>518</v>
      </c>
      <c r="B438" s="716" t="s">
        <v>519</v>
      </c>
      <c r="C438" s="717" t="s">
        <v>531</v>
      </c>
      <c r="D438" s="718" t="s">
        <v>532</v>
      </c>
      <c r="E438" s="717" t="s">
        <v>2355</v>
      </c>
      <c r="F438" s="718" t="s">
        <v>2356</v>
      </c>
      <c r="G438" s="717" t="s">
        <v>2755</v>
      </c>
      <c r="H438" s="717" t="s">
        <v>2767</v>
      </c>
      <c r="I438" s="720">
        <v>2226.39990234375</v>
      </c>
      <c r="J438" s="720">
        <v>8</v>
      </c>
      <c r="K438" s="721">
        <v>17811.19921875</v>
      </c>
    </row>
    <row r="439" spans="1:11" ht="14.45" customHeight="1" x14ac:dyDescent="0.2">
      <c r="A439" s="715" t="s">
        <v>518</v>
      </c>
      <c r="B439" s="716" t="s">
        <v>519</v>
      </c>
      <c r="C439" s="717" t="s">
        <v>531</v>
      </c>
      <c r="D439" s="718" t="s">
        <v>532</v>
      </c>
      <c r="E439" s="717" t="s">
        <v>2355</v>
      </c>
      <c r="F439" s="718" t="s">
        <v>2356</v>
      </c>
      <c r="G439" s="717" t="s">
        <v>2757</v>
      </c>
      <c r="H439" s="717" t="s">
        <v>2768</v>
      </c>
      <c r="I439" s="720">
        <v>2323.2099609375</v>
      </c>
      <c r="J439" s="720">
        <v>15</v>
      </c>
      <c r="K439" s="721">
        <v>34848.23046875</v>
      </c>
    </row>
    <row r="440" spans="1:11" ht="14.45" customHeight="1" x14ac:dyDescent="0.2">
      <c r="A440" s="715" t="s">
        <v>518</v>
      </c>
      <c r="B440" s="716" t="s">
        <v>519</v>
      </c>
      <c r="C440" s="717" t="s">
        <v>531</v>
      </c>
      <c r="D440" s="718" t="s">
        <v>532</v>
      </c>
      <c r="E440" s="717" t="s">
        <v>2355</v>
      </c>
      <c r="F440" s="718" t="s">
        <v>2356</v>
      </c>
      <c r="G440" s="717" t="s">
        <v>2759</v>
      </c>
      <c r="H440" s="717" t="s">
        <v>2769</v>
      </c>
      <c r="I440" s="720">
        <v>229.89999389648438</v>
      </c>
      <c r="J440" s="720">
        <v>240</v>
      </c>
      <c r="K440" s="721">
        <v>55176.009765625</v>
      </c>
    </row>
    <row r="441" spans="1:11" ht="14.45" customHeight="1" x14ac:dyDescent="0.2">
      <c r="A441" s="715" t="s">
        <v>518</v>
      </c>
      <c r="B441" s="716" t="s">
        <v>519</v>
      </c>
      <c r="C441" s="717" t="s">
        <v>531</v>
      </c>
      <c r="D441" s="718" t="s">
        <v>532</v>
      </c>
      <c r="E441" s="717" t="s">
        <v>2355</v>
      </c>
      <c r="F441" s="718" t="s">
        <v>2356</v>
      </c>
      <c r="G441" s="717" t="s">
        <v>2770</v>
      </c>
      <c r="H441" s="717" t="s">
        <v>2771</v>
      </c>
      <c r="I441" s="720">
        <v>205.69999694824219</v>
      </c>
      <c r="J441" s="720">
        <v>140</v>
      </c>
      <c r="K441" s="721">
        <v>28798</v>
      </c>
    </row>
    <row r="442" spans="1:11" ht="14.45" customHeight="1" x14ac:dyDescent="0.2">
      <c r="A442" s="715" t="s">
        <v>518</v>
      </c>
      <c r="B442" s="716" t="s">
        <v>519</v>
      </c>
      <c r="C442" s="717" t="s">
        <v>531</v>
      </c>
      <c r="D442" s="718" t="s">
        <v>532</v>
      </c>
      <c r="E442" s="717" t="s">
        <v>2355</v>
      </c>
      <c r="F442" s="718" t="s">
        <v>2356</v>
      </c>
      <c r="G442" s="717" t="s">
        <v>2772</v>
      </c>
      <c r="H442" s="717" t="s">
        <v>2773</v>
      </c>
      <c r="I442" s="720">
        <v>217.80000305175781</v>
      </c>
      <c r="J442" s="720">
        <v>10</v>
      </c>
      <c r="K442" s="721">
        <v>2178</v>
      </c>
    </row>
    <row r="443" spans="1:11" ht="14.45" customHeight="1" x14ac:dyDescent="0.2">
      <c r="A443" s="715" t="s">
        <v>518</v>
      </c>
      <c r="B443" s="716" t="s">
        <v>519</v>
      </c>
      <c r="C443" s="717" t="s">
        <v>531</v>
      </c>
      <c r="D443" s="718" t="s">
        <v>532</v>
      </c>
      <c r="E443" s="717" t="s">
        <v>2355</v>
      </c>
      <c r="F443" s="718" t="s">
        <v>2356</v>
      </c>
      <c r="G443" s="717" t="s">
        <v>2774</v>
      </c>
      <c r="H443" s="717" t="s">
        <v>2775</v>
      </c>
      <c r="I443" s="720">
        <v>471.89999389648438</v>
      </c>
      <c r="J443" s="720">
        <v>6</v>
      </c>
      <c r="K443" s="721">
        <v>2831.39990234375</v>
      </c>
    </row>
    <row r="444" spans="1:11" ht="14.45" customHeight="1" x14ac:dyDescent="0.2">
      <c r="A444" s="715" t="s">
        <v>518</v>
      </c>
      <c r="B444" s="716" t="s">
        <v>519</v>
      </c>
      <c r="C444" s="717" t="s">
        <v>531</v>
      </c>
      <c r="D444" s="718" t="s">
        <v>532</v>
      </c>
      <c r="E444" s="717" t="s">
        <v>2355</v>
      </c>
      <c r="F444" s="718" t="s">
        <v>2356</v>
      </c>
      <c r="G444" s="717" t="s">
        <v>2776</v>
      </c>
      <c r="H444" s="717" t="s">
        <v>2777</v>
      </c>
      <c r="I444" s="720">
        <v>168.19000244140625</v>
      </c>
      <c r="J444" s="720">
        <v>10</v>
      </c>
      <c r="K444" s="721">
        <v>1681.9000244140625</v>
      </c>
    </row>
    <row r="445" spans="1:11" ht="14.45" customHeight="1" x14ac:dyDescent="0.2">
      <c r="A445" s="715" t="s">
        <v>518</v>
      </c>
      <c r="B445" s="716" t="s">
        <v>519</v>
      </c>
      <c r="C445" s="717" t="s">
        <v>531</v>
      </c>
      <c r="D445" s="718" t="s">
        <v>532</v>
      </c>
      <c r="E445" s="717" t="s">
        <v>2355</v>
      </c>
      <c r="F445" s="718" t="s">
        <v>2356</v>
      </c>
      <c r="G445" s="717" t="s">
        <v>2778</v>
      </c>
      <c r="H445" s="717" t="s">
        <v>2779</v>
      </c>
      <c r="I445" s="720">
        <v>168.19000244140625</v>
      </c>
      <c r="J445" s="720">
        <v>10</v>
      </c>
      <c r="K445" s="721">
        <v>1681.9000244140625</v>
      </c>
    </row>
    <row r="446" spans="1:11" ht="14.45" customHeight="1" x14ac:dyDescent="0.2">
      <c r="A446" s="715" t="s">
        <v>518</v>
      </c>
      <c r="B446" s="716" t="s">
        <v>519</v>
      </c>
      <c r="C446" s="717" t="s">
        <v>531</v>
      </c>
      <c r="D446" s="718" t="s">
        <v>532</v>
      </c>
      <c r="E446" s="717" t="s">
        <v>2355</v>
      </c>
      <c r="F446" s="718" t="s">
        <v>2356</v>
      </c>
      <c r="G446" s="717" t="s">
        <v>2780</v>
      </c>
      <c r="H446" s="717" t="s">
        <v>2781</v>
      </c>
      <c r="I446" s="720">
        <v>82.156001281738284</v>
      </c>
      <c r="J446" s="720">
        <v>136</v>
      </c>
      <c r="K446" s="721">
        <v>11173.230041503906</v>
      </c>
    </row>
    <row r="447" spans="1:11" ht="14.45" customHeight="1" x14ac:dyDescent="0.2">
      <c r="A447" s="715" t="s">
        <v>518</v>
      </c>
      <c r="B447" s="716" t="s">
        <v>519</v>
      </c>
      <c r="C447" s="717" t="s">
        <v>531</v>
      </c>
      <c r="D447" s="718" t="s">
        <v>532</v>
      </c>
      <c r="E447" s="717" t="s">
        <v>2355</v>
      </c>
      <c r="F447" s="718" t="s">
        <v>2356</v>
      </c>
      <c r="G447" s="717" t="s">
        <v>2780</v>
      </c>
      <c r="H447" s="717" t="s">
        <v>2782</v>
      </c>
      <c r="I447" s="720">
        <v>82.148002624511719</v>
      </c>
      <c r="J447" s="720">
        <v>136</v>
      </c>
      <c r="K447" s="721">
        <v>11173.069702148438</v>
      </c>
    </row>
    <row r="448" spans="1:11" ht="14.45" customHeight="1" x14ac:dyDescent="0.2">
      <c r="A448" s="715" t="s">
        <v>518</v>
      </c>
      <c r="B448" s="716" t="s">
        <v>519</v>
      </c>
      <c r="C448" s="717" t="s">
        <v>531</v>
      </c>
      <c r="D448" s="718" t="s">
        <v>532</v>
      </c>
      <c r="E448" s="717" t="s">
        <v>2355</v>
      </c>
      <c r="F448" s="718" t="s">
        <v>2356</v>
      </c>
      <c r="G448" s="717" t="s">
        <v>2783</v>
      </c>
      <c r="H448" s="717" t="s">
        <v>2784</v>
      </c>
      <c r="I448" s="720">
        <v>2.8499999046325684</v>
      </c>
      <c r="J448" s="720">
        <v>700</v>
      </c>
      <c r="K448" s="721">
        <v>1995.6000366210938</v>
      </c>
    </row>
    <row r="449" spans="1:11" ht="14.45" customHeight="1" x14ac:dyDescent="0.2">
      <c r="A449" s="715" t="s">
        <v>518</v>
      </c>
      <c r="B449" s="716" t="s">
        <v>519</v>
      </c>
      <c r="C449" s="717" t="s">
        <v>531</v>
      </c>
      <c r="D449" s="718" t="s">
        <v>532</v>
      </c>
      <c r="E449" s="717" t="s">
        <v>2355</v>
      </c>
      <c r="F449" s="718" t="s">
        <v>2356</v>
      </c>
      <c r="G449" s="717" t="s">
        <v>2785</v>
      </c>
      <c r="H449" s="717" t="s">
        <v>2786</v>
      </c>
      <c r="I449" s="720">
        <v>1.2100000381469727</v>
      </c>
      <c r="J449" s="720">
        <v>1200</v>
      </c>
      <c r="K449" s="721">
        <v>1452</v>
      </c>
    </row>
    <row r="450" spans="1:11" ht="14.45" customHeight="1" x14ac:dyDescent="0.2">
      <c r="A450" s="715" t="s">
        <v>518</v>
      </c>
      <c r="B450" s="716" t="s">
        <v>519</v>
      </c>
      <c r="C450" s="717" t="s">
        <v>531</v>
      </c>
      <c r="D450" s="718" t="s">
        <v>532</v>
      </c>
      <c r="E450" s="717" t="s">
        <v>2355</v>
      </c>
      <c r="F450" s="718" t="s">
        <v>2356</v>
      </c>
      <c r="G450" s="717" t="s">
        <v>2783</v>
      </c>
      <c r="H450" s="717" t="s">
        <v>2787</v>
      </c>
      <c r="I450" s="720">
        <v>2.8499999046325684</v>
      </c>
      <c r="J450" s="720">
        <v>900</v>
      </c>
      <c r="K450" s="721">
        <v>2566.8001098632813</v>
      </c>
    </row>
    <row r="451" spans="1:11" ht="14.45" customHeight="1" x14ac:dyDescent="0.2">
      <c r="A451" s="715" t="s">
        <v>518</v>
      </c>
      <c r="B451" s="716" t="s">
        <v>519</v>
      </c>
      <c r="C451" s="717" t="s">
        <v>531</v>
      </c>
      <c r="D451" s="718" t="s">
        <v>532</v>
      </c>
      <c r="E451" s="717" t="s">
        <v>2355</v>
      </c>
      <c r="F451" s="718" t="s">
        <v>2356</v>
      </c>
      <c r="G451" s="717" t="s">
        <v>2788</v>
      </c>
      <c r="H451" s="717" t="s">
        <v>2789</v>
      </c>
      <c r="I451" s="720">
        <v>1.0299999713897705</v>
      </c>
      <c r="J451" s="720">
        <v>1200</v>
      </c>
      <c r="K451" s="721">
        <v>1236</v>
      </c>
    </row>
    <row r="452" spans="1:11" ht="14.45" customHeight="1" x14ac:dyDescent="0.2">
      <c r="A452" s="715" t="s">
        <v>518</v>
      </c>
      <c r="B452" s="716" t="s">
        <v>519</v>
      </c>
      <c r="C452" s="717" t="s">
        <v>531</v>
      </c>
      <c r="D452" s="718" t="s">
        <v>532</v>
      </c>
      <c r="E452" s="717" t="s">
        <v>2355</v>
      </c>
      <c r="F452" s="718" t="s">
        <v>2356</v>
      </c>
      <c r="G452" s="717" t="s">
        <v>2785</v>
      </c>
      <c r="H452" s="717" t="s">
        <v>2790</v>
      </c>
      <c r="I452" s="720">
        <v>1.2100000381469727</v>
      </c>
      <c r="J452" s="720">
        <v>225</v>
      </c>
      <c r="K452" s="721">
        <v>272.25</v>
      </c>
    </row>
    <row r="453" spans="1:11" ht="14.45" customHeight="1" x14ac:dyDescent="0.2">
      <c r="A453" s="715" t="s">
        <v>518</v>
      </c>
      <c r="B453" s="716" t="s">
        <v>519</v>
      </c>
      <c r="C453" s="717" t="s">
        <v>531</v>
      </c>
      <c r="D453" s="718" t="s">
        <v>532</v>
      </c>
      <c r="E453" s="717" t="s">
        <v>2355</v>
      </c>
      <c r="F453" s="718" t="s">
        <v>2356</v>
      </c>
      <c r="G453" s="717" t="s">
        <v>2791</v>
      </c>
      <c r="H453" s="717" t="s">
        <v>2792</v>
      </c>
      <c r="I453" s="720">
        <v>3.130000114440918</v>
      </c>
      <c r="J453" s="720">
        <v>1000</v>
      </c>
      <c r="K453" s="721">
        <v>3130</v>
      </c>
    </row>
    <row r="454" spans="1:11" ht="14.45" customHeight="1" x14ac:dyDescent="0.2">
      <c r="A454" s="715" t="s">
        <v>518</v>
      </c>
      <c r="B454" s="716" t="s">
        <v>519</v>
      </c>
      <c r="C454" s="717" t="s">
        <v>531</v>
      </c>
      <c r="D454" s="718" t="s">
        <v>532</v>
      </c>
      <c r="E454" s="717" t="s">
        <v>2355</v>
      </c>
      <c r="F454" s="718" t="s">
        <v>2356</v>
      </c>
      <c r="G454" s="717" t="s">
        <v>2791</v>
      </c>
      <c r="H454" s="717" t="s">
        <v>2793</v>
      </c>
      <c r="I454" s="720">
        <v>3.1366667747497559</v>
      </c>
      <c r="J454" s="720">
        <v>1000</v>
      </c>
      <c r="K454" s="721">
        <v>3136.5</v>
      </c>
    </row>
    <row r="455" spans="1:11" ht="14.45" customHeight="1" x14ac:dyDescent="0.2">
      <c r="A455" s="715" t="s">
        <v>518</v>
      </c>
      <c r="B455" s="716" t="s">
        <v>519</v>
      </c>
      <c r="C455" s="717" t="s">
        <v>531</v>
      </c>
      <c r="D455" s="718" t="s">
        <v>532</v>
      </c>
      <c r="E455" s="717" t="s">
        <v>2355</v>
      </c>
      <c r="F455" s="718" t="s">
        <v>2356</v>
      </c>
      <c r="G455" s="717" t="s">
        <v>2794</v>
      </c>
      <c r="H455" s="717" t="s">
        <v>2795</v>
      </c>
      <c r="I455" s="720">
        <v>459.79998779296875</v>
      </c>
      <c r="J455" s="720">
        <v>10</v>
      </c>
      <c r="K455" s="721">
        <v>4598</v>
      </c>
    </row>
    <row r="456" spans="1:11" ht="14.45" customHeight="1" x14ac:dyDescent="0.2">
      <c r="A456" s="715" t="s">
        <v>518</v>
      </c>
      <c r="B456" s="716" t="s">
        <v>519</v>
      </c>
      <c r="C456" s="717" t="s">
        <v>531</v>
      </c>
      <c r="D456" s="718" t="s">
        <v>532</v>
      </c>
      <c r="E456" s="717" t="s">
        <v>2355</v>
      </c>
      <c r="F456" s="718" t="s">
        <v>2356</v>
      </c>
      <c r="G456" s="717" t="s">
        <v>2796</v>
      </c>
      <c r="H456" s="717" t="s">
        <v>2797</v>
      </c>
      <c r="I456" s="720">
        <v>592.9000244140625</v>
      </c>
      <c r="J456" s="720">
        <v>40</v>
      </c>
      <c r="K456" s="721">
        <v>23716</v>
      </c>
    </row>
    <row r="457" spans="1:11" ht="14.45" customHeight="1" x14ac:dyDescent="0.2">
      <c r="A457" s="715" t="s">
        <v>518</v>
      </c>
      <c r="B457" s="716" t="s">
        <v>519</v>
      </c>
      <c r="C457" s="717" t="s">
        <v>531</v>
      </c>
      <c r="D457" s="718" t="s">
        <v>532</v>
      </c>
      <c r="E457" s="717" t="s">
        <v>2355</v>
      </c>
      <c r="F457" s="718" t="s">
        <v>2356</v>
      </c>
      <c r="G457" s="717" t="s">
        <v>2796</v>
      </c>
      <c r="H457" s="717" t="s">
        <v>2798</v>
      </c>
      <c r="I457" s="720">
        <v>592.9000244140625</v>
      </c>
      <c r="J457" s="720">
        <v>60</v>
      </c>
      <c r="K457" s="721">
        <v>35574</v>
      </c>
    </row>
    <row r="458" spans="1:11" ht="14.45" customHeight="1" x14ac:dyDescent="0.2">
      <c r="A458" s="715" t="s">
        <v>518</v>
      </c>
      <c r="B458" s="716" t="s">
        <v>519</v>
      </c>
      <c r="C458" s="717" t="s">
        <v>531</v>
      </c>
      <c r="D458" s="718" t="s">
        <v>532</v>
      </c>
      <c r="E458" s="717" t="s">
        <v>2355</v>
      </c>
      <c r="F458" s="718" t="s">
        <v>2356</v>
      </c>
      <c r="G458" s="717" t="s">
        <v>2799</v>
      </c>
      <c r="H458" s="717" t="s">
        <v>2800</v>
      </c>
      <c r="I458" s="720">
        <v>0.47285713894026621</v>
      </c>
      <c r="J458" s="720">
        <v>3200</v>
      </c>
      <c r="K458" s="721">
        <v>1514</v>
      </c>
    </row>
    <row r="459" spans="1:11" ht="14.45" customHeight="1" x14ac:dyDescent="0.2">
      <c r="A459" s="715" t="s">
        <v>518</v>
      </c>
      <c r="B459" s="716" t="s">
        <v>519</v>
      </c>
      <c r="C459" s="717" t="s">
        <v>531</v>
      </c>
      <c r="D459" s="718" t="s">
        <v>532</v>
      </c>
      <c r="E459" s="717" t="s">
        <v>2355</v>
      </c>
      <c r="F459" s="718" t="s">
        <v>2356</v>
      </c>
      <c r="G459" s="717" t="s">
        <v>2801</v>
      </c>
      <c r="H459" s="717" t="s">
        <v>2802</v>
      </c>
      <c r="I459" s="720">
        <v>0.4699999988079071</v>
      </c>
      <c r="J459" s="720">
        <v>600</v>
      </c>
      <c r="K459" s="721">
        <v>282</v>
      </c>
    </row>
    <row r="460" spans="1:11" ht="14.45" customHeight="1" x14ac:dyDescent="0.2">
      <c r="A460" s="715" t="s">
        <v>518</v>
      </c>
      <c r="B460" s="716" t="s">
        <v>519</v>
      </c>
      <c r="C460" s="717" t="s">
        <v>531</v>
      </c>
      <c r="D460" s="718" t="s">
        <v>532</v>
      </c>
      <c r="E460" s="717" t="s">
        <v>2355</v>
      </c>
      <c r="F460" s="718" t="s">
        <v>2356</v>
      </c>
      <c r="G460" s="717" t="s">
        <v>2799</v>
      </c>
      <c r="H460" s="717" t="s">
        <v>2803</v>
      </c>
      <c r="I460" s="720">
        <v>0.47124999761581421</v>
      </c>
      <c r="J460" s="720">
        <v>3300</v>
      </c>
      <c r="K460" s="721">
        <v>1554</v>
      </c>
    </row>
    <row r="461" spans="1:11" ht="14.45" customHeight="1" x14ac:dyDescent="0.2">
      <c r="A461" s="715" t="s">
        <v>518</v>
      </c>
      <c r="B461" s="716" t="s">
        <v>519</v>
      </c>
      <c r="C461" s="717" t="s">
        <v>531</v>
      </c>
      <c r="D461" s="718" t="s">
        <v>532</v>
      </c>
      <c r="E461" s="717" t="s">
        <v>2355</v>
      </c>
      <c r="F461" s="718" t="s">
        <v>2356</v>
      </c>
      <c r="G461" s="717" t="s">
        <v>2804</v>
      </c>
      <c r="H461" s="717" t="s">
        <v>2805</v>
      </c>
      <c r="I461" s="720">
        <v>3.75</v>
      </c>
      <c r="J461" s="720">
        <v>30</v>
      </c>
      <c r="K461" s="721">
        <v>112.5</v>
      </c>
    </row>
    <row r="462" spans="1:11" ht="14.45" customHeight="1" x14ac:dyDescent="0.2">
      <c r="A462" s="715" t="s">
        <v>518</v>
      </c>
      <c r="B462" s="716" t="s">
        <v>519</v>
      </c>
      <c r="C462" s="717" t="s">
        <v>531</v>
      </c>
      <c r="D462" s="718" t="s">
        <v>532</v>
      </c>
      <c r="E462" s="717" t="s">
        <v>2355</v>
      </c>
      <c r="F462" s="718" t="s">
        <v>2356</v>
      </c>
      <c r="G462" s="717" t="s">
        <v>2806</v>
      </c>
      <c r="H462" s="717" t="s">
        <v>2807</v>
      </c>
      <c r="I462" s="720">
        <v>1.9850000143051147</v>
      </c>
      <c r="J462" s="720">
        <v>2650</v>
      </c>
      <c r="K462" s="721">
        <v>5263.5</v>
      </c>
    </row>
    <row r="463" spans="1:11" ht="14.45" customHeight="1" x14ac:dyDescent="0.2">
      <c r="A463" s="715" t="s">
        <v>518</v>
      </c>
      <c r="B463" s="716" t="s">
        <v>519</v>
      </c>
      <c r="C463" s="717" t="s">
        <v>531</v>
      </c>
      <c r="D463" s="718" t="s">
        <v>532</v>
      </c>
      <c r="E463" s="717" t="s">
        <v>2355</v>
      </c>
      <c r="F463" s="718" t="s">
        <v>2356</v>
      </c>
      <c r="G463" s="717" t="s">
        <v>2806</v>
      </c>
      <c r="H463" s="717" t="s">
        <v>2808</v>
      </c>
      <c r="I463" s="720">
        <v>1.9857142993382044</v>
      </c>
      <c r="J463" s="720">
        <v>2900</v>
      </c>
      <c r="K463" s="721">
        <v>5757</v>
      </c>
    </row>
    <row r="464" spans="1:11" ht="14.45" customHeight="1" x14ac:dyDescent="0.2">
      <c r="A464" s="715" t="s">
        <v>518</v>
      </c>
      <c r="B464" s="716" t="s">
        <v>519</v>
      </c>
      <c r="C464" s="717" t="s">
        <v>531</v>
      </c>
      <c r="D464" s="718" t="s">
        <v>532</v>
      </c>
      <c r="E464" s="717" t="s">
        <v>2355</v>
      </c>
      <c r="F464" s="718" t="s">
        <v>2356</v>
      </c>
      <c r="G464" s="717" t="s">
        <v>2809</v>
      </c>
      <c r="H464" s="717" t="s">
        <v>2810</v>
      </c>
      <c r="I464" s="720">
        <v>2.0374999642372131</v>
      </c>
      <c r="J464" s="720">
        <v>450</v>
      </c>
      <c r="K464" s="721">
        <v>917</v>
      </c>
    </row>
    <row r="465" spans="1:11" ht="14.45" customHeight="1" x14ac:dyDescent="0.2">
      <c r="A465" s="715" t="s">
        <v>518</v>
      </c>
      <c r="B465" s="716" t="s">
        <v>519</v>
      </c>
      <c r="C465" s="717" t="s">
        <v>531</v>
      </c>
      <c r="D465" s="718" t="s">
        <v>532</v>
      </c>
      <c r="E465" s="717" t="s">
        <v>2355</v>
      </c>
      <c r="F465" s="718" t="s">
        <v>2356</v>
      </c>
      <c r="G465" s="717" t="s">
        <v>2811</v>
      </c>
      <c r="H465" s="717" t="s">
        <v>2812</v>
      </c>
      <c r="I465" s="720">
        <v>1.8999999761581421</v>
      </c>
      <c r="J465" s="720">
        <v>100</v>
      </c>
      <c r="K465" s="721">
        <v>190</v>
      </c>
    </row>
    <row r="466" spans="1:11" ht="14.45" customHeight="1" x14ac:dyDescent="0.2">
      <c r="A466" s="715" t="s">
        <v>518</v>
      </c>
      <c r="B466" s="716" t="s">
        <v>519</v>
      </c>
      <c r="C466" s="717" t="s">
        <v>531</v>
      </c>
      <c r="D466" s="718" t="s">
        <v>532</v>
      </c>
      <c r="E466" s="717" t="s">
        <v>2355</v>
      </c>
      <c r="F466" s="718" t="s">
        <v>2356</v>
      </c>
      <c r="G466" s="717" t="s">
        <v>2813</v>
      </c>
      <c r="H466" s="717" t="s">
        <v>2814</v>
      </c>
      <c r="I466" s="720">
        <v>3.0742856434413364</v>
      </c>
      <c r="J466" s="720">
        <v>1800</v>
      </c>
      <c r="K466" s="721">
        <v>5531.5</v>
      </c>
    </row>
    <row r="467" spans="1:11" ht="14.45" customHeight="1" x14ac:dyDescent="0.2">
      <c r="A467" s="715" t="s">
        <v>518</v>
      </c>
      <c r="B467" s="716" t="s">
        <v>519</v>
      </c>
      <c r="C467" s="717" t="s">
        <v>531</v>
      </c>
      <c r="D467" s="718" t="s">
        <v>532</v>
      </c>
      <c r="E467" s="717" t="s">
        <v>2355</v>
      </c>
      <c r="F467" s="718" t="s">
        <v>2356</v>
      </c>
      <c r="G467" s="717" t="s">
        <v>2815</v>
      </c>
      <c r="H467" s="717" t="s">
        <v>2816</v>
      </c>
      <c r="I467" s="720">
        <v>1.921999955177307</v>
      </c>
      <c r="J467" s="720">
        <v>450</v>
      </c>
      <c r="K467" s="721">
        <v>865</v>
      </c>
    </row>
    <row r="468" spans="1:11" ht="14.45" customHeight="1" x14ac:dyDescent="0.2">
      <c r="A468" s="715" t="s">
        <v>518</v>
      </c>
      <c r="B468" s="716" t="s">
        <v>519</v>
      </c>
      <c r="C468" s="717" t="s">
        <v>531</v>
      </c>
      <c r="D468" s="718" t="s">
        <v>532</v>
      </c>
      <c r="E468" s="717" t="s">
        <v>2355</v>
      </c>
      <c r="F468" s="718" t="s">
        <v>2356</v>
      </c>
      <c r="G468" s="717" t="s">
        <v>2817</v>
      </c>
      <c r="H468" s="717" t="s">
        <v>2818</v>
      </c>
      <c r="I468" s="720">
        <v>3.0999999046325684</v>
      </c>
      <c r="J468" s="720">
        <v>1350</v>
      </c>
      <c r="K468" s="721">
        <v>4185</v>
      </c>
    </row>
    <row r="469" spans="1:11" ht="14.45" customHeight="1" x14ac:dyDescent="0.2">
      <c r="A469" s="715" t="s">
        <v>518</v>
      </c>
      <c r="B469" s="716" t="s">
        <v>519</v>
      </c>
      <c r="C469" s="717" t="s">
        <v>531</v>
      </c>
      <c r="D469" s="718" t="s">
        <v>532</v>
      </c>
      <c r="E469" s="717" t="s">
        <v>2355</v>
      </c>
      <c r="F469" s="718" t="s">
        <v>2356</v>
      </c>
      <c r="G469" s="717" t="s">
        <v>2811</v>
      </c>
      <c r="H469" s="717" t="s">
        <v>2819</v>
      </c>
      <c r="I469" s="720">
        <v>1.8999999761581421</v>
      </c>
      <c r="J469" s="720">
        <v>100</v>
      </c>
      <c r="K469" s="721">
        <v>190</v>
      </c>
    </row>
    <row r="470" spans="1:11" ht="14.45" customHeight="1" x14ac:dyDescent="0.2">
      <c r="A470" s="715" t="s">
        <v>518</v>
      </c>
      <c r="B470" s="716" t="s">
        <v>519</v>
      </c>
      <c r="C470" s="717" t="s">
        <v>531</v>
      </c>
      <c r="D470" s="718" t="s">
        <v>532</v>
      </c>
      <c r="E470" s="717" t="s">
        <v>2355</v>
      </c>
      <c r="F470" s="718" t="s">
        <v>2356</v>
      </c>
      <c r="G470" s="717" t="s">
        <v>2813</v>
      </c>
      <c r="H470" s="717" t="s">
        <v>2820</v>
      </c>
      <c r="I470" s="720">
        <v>3.0759999275207521</v>
      </c>
      <c r="J470" s="720">
        <v>1800</v>
      </c>
      <c r="K470" s="721">
        <v>5537</v>
      </c>
    </row>
    <row r="471" spans="1:11" ht="14.45" customHeight="1" x14ac:dyDescent="0.2">
      <c r="A471" s="715" t="s">
        <v>518</v>
      </c>
      <c r="B471" s="716" t="s">
        <v>519</v>
      </c>
      <c r="C471" s="717" t="s">
        <v>531</v>
      </c>
      <c r="D471" s="718" t="s">
        <v>532</v>
      </c>
      <c r="E471" s="717" t="s">
        <v>2355</v>
      </c>
      <c r="F471" s="718" t="s">
        <v>2356</v>
      </c>
      <c r="G471" s="717" t="s">
        <v>2815</v>
      </c>
      <c r="H471" s="717" t="s">
        <v>2821</v>
      </c>
      <c r="I471" s="720">
        <v>1.92249995470047</v>
      </c>
      <c r="J471" s="720">
        <v>350</v>
      </c>
      <c r="K471" s="721">
        <v>673</v>
      </c>
    </row>
    <row r="472" spans="1:11" ht="14.45" customHeight="1" x14ac:dyDescent="0.2">
      <c r="A472" s="715" t="s">
        <v>518</v>
      </c>
      <c r="B472" s="716" t="s">
        <v>519</v>
      </c>
      <c r="C472" s="717" t="s">
        <v>531</v>
      </c>
      <c r="D472" s="718" t="s">
        <v>532</v>
      </c>
      <c r="E472" s="717" t="s">
        <v>2355</v>
      </c>
      <c r="F472" s="718" t="s">
        <v>2356</v>
      </c>
      <c r="G472" s="717" t="s">
        <v>2817</v>
      </c>
      <c r="H472" s="717" t="s">
        <v>2822</v>
      </c>
      <c r="I472" s="720">
        <v>3.0949999094009399</v>
      </c>
      <c r="J472" s="720">
        <v>1150</v>
      </c>
      <c r="K472" s="721">
        <v>3560</v>
      </c>
    </row>
    <row r="473" spans="1:11" ht="14.45" customHeight="1" x14ac:dyDescent="0.2">
      <c r="A473" s="715" t="s">
        <v>518</v>
      </c>
      <c r="B473" s="716" t="s">
        <v>519</v>
      </c>
      <c r="C473" s="717" t="s">
        <v>531</v>
      </c>
      <c r="D473" s="718" t="s">
        <v>532</v>
      </c>
      <c r="E473" s="717" t="s">
        <v>2355</v>
      </c>
      <c r="F473" s="718" t="s">
        <v>2356</v>
      </c>
      <c r="G473" s="717" t="s">
        <v>2823</v>
      </c>
      <c r="H473" s="717" t="s">
        <v>2824</v>
      </c>
      <c r="I473" s="720">
        <v>2.1666667461395264</v>
      </c>
      <c r="J473" s="720">
        <v>1550</v>
      </c>
      <c r="K473" s="721">
        <v>3355.5</v>
      </c>
    </row>
    <row r="474" spans="1:11" ht="14.45" customHeight="1" x14ac:dyDescent="0.2">
      <c r="A474" s="715" t="s">
        <v>518</v>
      </c>
      <c r="B474" s="716" t="s">
        <v>519</v>
      </c>
      <c r="C474" s="717" t="s">
        <v>531</v>
      </c>
      <c r="D474" s="718" t="s">
        <v>532</v>
      </c>
      <c r="E474" s="717" t="s">
        <v>2355</v>
      </c>
      <c r="F474" s="718" t="s">
        <v>2356</v>
      </c>
      <c r="G474" s="717" t="s">
        <v>2823</v>
      </c>
      <c r="H474" s="717" t="s">
        <v>2825</v>
      </c>
      <c r="I474" s="720">
        <v>2.1657143660954068</v>
      </c>
      <c r="J474" s="720">
        <v>1600</v>
      </c>
      <c r="K474" s="721">
        <v>3462</v>
      </c>
    </row>
    <row r="475" spans="1:11" ht="14.45" customHeight="1" x14ac:dyDescent="0.2">
      <c r="A475" s="715" t="s">
        <v>518</v>
      </c>
      <c r="B475" s="716" t="s">
        <v>519</v>
      </c>
      <c r="C475" s="717" t="s">
        <v>531</v>
      </c>
      <c r="D475" s="718" t="s">
        <v>532</v>
      </c>
      <c r="E475" s="717" t="s">
        <v>2355</v>
      </c>
      <c r="F475" s="718" t="s">
        <v>2356</v>
      </c>
      <c r="G475" s="717" t="s">
        <v>2826</v>
      </c>
      <c r="H475" s="717" t="s">
        <v>2827</v>
      </c>
      <c r="I475" s="720">
        <v>2</v>
      </c>
      <c r="J475" s="720">
        <v>100</v>
      </c>
      <c r="K475" s="721">
        <v>200</v>
      </c>
    </row>
    <row r="476" spans="1:11" ht="14.45" customHeight="1" x14ac:dyDescent="0.2">
      <c r="A476" s="715" t="s">
        <v>518</v>
      </c>
      <c r="B476" s="716" t="s">
        <v>519</v>
      </c>
      <c r="C476" s="717" t="s">
        <v>531</v>
      </c>
      <c r="D476" s="718" t="s">
        <v>532</v>
      </c>
      <c r="E476" s="717" t="s">
        <v>2355</v>
      </c>
      <c r="F476" s="718" t="s">
        <v>2356</v>
      </c>
      <c r="G476" s="717" t="s">
        <v>2828</v>
      </c>
      <c r="H476" s="717" t="s">
        <v>2829</v>
      </c>
      <c r="I476" s="720">
        <v>21.236666361490887</v>
      </c>
      <c r="J476" s="720">
        <v>200</v>
      </c>
      <c r="K476" s="721">
        <v>4247</v>
      </c>
    </row>
    <row r="477" spans="1:11" ht="14.45" customHeight="1" x14ac:dyDescent="0.2">
      <c r="A477" s="715" t="s">
        <v>518</v>
      </c>
      <c r="B477" s="716" t="s">
        <v>519</v>
      </c>
      <c r="C477" s="717" t="s">
        <v>531</v>
      </c>
      <c r="D477" s="718" t="s">
        <v>532</v>
      </c>
      <c r="E477" s="717" t="s">
        <v>2355</v>
      </c>
      <c r="F477" s="718" t="s">
        <v>2356</v>
      </c>
      <c r="G477" s="717" t="s">
        <v>2830</v>
      </c>
      <c r="H477" s="717" t="s">
        <v>2831</v>
      </c>
      <c r="I477" s="720">
        <v>5.380000114440918</v>
      </c>
      <c r="J477" s="720">
        <v>700</v>
      </c>
      <c r="K477" s="721">
        <v>3766</v>
      </c>
    </row>
    <row r="478" spans="1:11" ht="14.45" customHeight="1" x14ac:dyDescent="0.2">
      <c r="A478" s="715" t="s">
        <v>518</v>
      </c>
      <c r="B478" s="716" t="s">
        <v>519</v>
      </c>
      <c r="C478" s="717" t="s">
        <v>531</v>
      </c>
      <c r="D478" s="718" t="s">
        <v>532</v>
      </c>
      <c r="E478" s="717" t="s">
        <v>2355</v>
      </c>
      <c r="F478" s="718" t="s">
        <v>2356</v>
      </c>
      <c r="G478" s="717" t="s">
        <v>2828</v>
      </c>
      <c r="H478" s="717" t="s">
        <v>2832</v>
      </c>
      <c r="I478" s="720">
        <v>21.237999725341798</v>
      </c>
      <c r="J478" s="720">
        <v>250</v>
      </c>
      <c r="K478" s="721">
        <v>5309.5</v>
      </c>
    </row>
    <row r="479" spans="1:11" ht="14.45" customHeight="1" x14ac:dyDescent="0.2">
      <c r="A479" s="715" t="s">
        <v>518</v>
      </c>
      <c r="B479" s="716" t="s">
        <v>519</v>
      </c>
      <c r="C479" s="717" t="s">
        <v>531</v>
      </c>
      <c r="D479" s="718" t="s">
        <v>532</v>
      </c>
      <c r="E479" s="717" t="s">
        <v>2355</v>
      </c>
      <c r="F479" s="718" t="s">
        <v>2356</v>
      </c>
      <c r="G479" s="717" t="s">
        <v>2830</v>
      </c>
      <c r="H479" s="717" t="s">
        <v>2833</v>
      </c>
      <c r="I479" s="720">
        <v>5.3550000190734863</v>
      </c>
      <c r="J479" s="720">
        <v>300</v>
      </c>
      <c r="K479" s="721">
        <v>1606.5</v>
      </c>
    </row>
    <row r="480" spans="1:11" ht="14.45" customHeight="1" x14ac:dyDescent="0.2">
      <c r="A480" s="715" t="s">
        <v>518</v>
      </c>
      <c r="B480" s="716" t="s">
        <v>519</v>
      </c>
      <c r="C480" s="717" t="s">
        <v>531</v>
      </c>
      <c r="D480" s="718" t="s">
        <v>532</v>
      </c>
      <c r="E480" s="717" t="s">
        <v>2355</v>
      </c>
      <c r="F480" s="718" t="s">
        <v>2356</v>
      </c>
      <c r="G480" s="717" t="s">
        <v>2834</v>
      </c>
      <c r="H480" s="717" t="s">
        <v>2835</v>
      </c>
      <c r="I480" s="720">
        <v>21.237499713897705</v>
      </c>
      <c r="J480" s="720">
        <v>200</v>
      </c>
      <c r="K480" s="721">
        <v>4247.5</v>
      </c>
    </row>
    <row r="481" spans="1:11" ht="14.45" customHeight="1" x14ac:dyDescent="0.2">
      <c r="A481" s="715" t="s">
        <v>518</v>
      </c>
      <c r="B481" s="716" t="s">
        <v>519</v>
      </c>
      <c r="C481" s="717" t="s">
        <v>531</v>
      </c>
      <c r="D481" s="718" t="s">
        <v>532</v>
      </c>
      <c r="E481" s="717" t="s">
        <v>2355</v>
      </c>
      <c r="F481" s="718" t="s">
        <v>2356</v>
      </c>
      <c r="G481" s="717" t="s">
        <v>2834</v>
      </c>
      <c r="H481" s="717" t="s">
        <v>2836</v>
      </c>
      <c r="I481" s="720">
        <v>21.237499713897705</v>
      </c>
      <c r="J481" s="720">
        <v>200</v>
      </c>
      <c r="K481" s="721">
        <v>4247.5</v>
      </c>
    </row>
    <row r="482" spans="1:11" ht="14.45" customHeight="1" x14ac:dyDescent="0.2">
      <c r="A482" s="715" t="s">
        <v>518</v>
      </c>
      <c r="B482" s="716" t="s">
        <v>519</v>
      </c>
      <c r="C482" s="717" t="s">
        <v>531</v>
      </c>
      <c r="D482" s="718" t="s">
        <v>532</v>
      </c>
      <c r="E482" s="717" t="s">
        <v>2355</v>
      </c>
      <c r="F482" s="718" t="s">
        <v>2356</v>
      </c>
      <c r="G482" s="717" t="s">
        <v>2826</v>
      </c>
      <c r="H482" s="717" t="s">
        <v>2837</v>
      </c>
      <c r="I482" s="720">
        <v>2</v>
      </c>
      <c r="J482" s="720">
        <v>225</v>
      </c>
      <c r="K482" s="721">
        <v>450</v>
      </c>
    </row>
    <row r="483" spans="1:11" ht="14.45" customHeight="1" x14ac:dyDescent="0.2">
      <c r="A483" s="715" t="s">
        <v>518</v>
      </c>
      <c r="B483" s="716" t="s">
        <v>519</v>
      </c>
      <c r="C483" s="717" t="s">
        <v>531</v>
      </c>
      <c r="D483" s="718" t="s">
        <v>532</v>
      </c>
      <c r="E483" s="717" t="s">
        <v>2355</v>
      </c>
      <c r="F483" s="718" t="s">
        <v>2356</v>
      </c>
      <c r="G483" s="717" t="s">
        <v>2838</v>
      </c>
      <c r="H483" s="717" t="s">
        <v>2839</v>
      </c>
      <c r="I483" s="720">
        <v>2.5299999713897705</v>
      </c>
      <c r="J483" s="720">
        <v>50</v>
      </c>
      <c r="K483" s="721">
        <v>126.5</v>
      </c>
    </row>
    <row r="484" spans="1:11" ht="14.45" customHeight="1" x14ac:dyDescent="0.2">
      <c r="A484" s="715" t="s">
        <v>518</v>
      </c>
      <c r="B484" s="716" t="s">
        <v>519</v>
      </c>
      <c r="C484" s="717" t="s">
        <v>531</v>
      </c>
      <c r="D484" s="718" t="s">
        <v>532</v>
      </c>
      <c r="E484" s="717" t="s">
        <v>2355</v>
      </c>
      <c r="F484" s="718" t="s">
        <v>2356</v>
      </c>
      <c r="G484" s="717" t="s">
        <v>2838</v>
      </c>
      <c r="H484" s="717" t="s">
        <v>2840</v>
      </c>
      <c r="I484" s="720">
        <v>2.5199999809265137</v>
      </c>
      <c r="J484" s="720">
        <v>50</v>
      </c>
      <c r="K484" s="721">
        <v>126</v>
      </c>
    </row>
    <row r="485" spans="1:11" ht="14.45" customHeight="1" x14ac:dyDescent="0.2">
      <c r="A485" s="715" t="s">
        <v>518</v>
      </c>
      <c r="B485" s="716" t="s">
        <v>519</v>
      </c>
      <c r="C485" s="717" t="s">
        <v>531</v>
      </c>
      <c r="D485" s="718" t="s">
        <v>532</v>
      </c>
      <c r="E485" s="717" t="s">
        <v>2841</v>
      </c>
      <c r="F485" s="718" t="s">
        <v>2842</v>
      </c>
      <c r="G485" s="717" t="s">
        <v>2645</v>
      </c>
      <c r="H485" s="717" t="s">
        <v>2646</v>
      </c>
      <c r="I485" s="720">
        <v>150</v>
      </c>
      <c r="J485" s="720">
        <v>500</v>
      </c>
      <c r="K485" s="721">
        <v>75001.490234375</v>
      </c>
    </row>
    <row r="486" spans="1:11" ht="14.45" customHeight="1" x14ac:dyDescent="0.2">
      <c r="A486" s="715" t="s">
        <v>518</v>
      </c>
      <c r="B486" s="716" t="s">
        <v>519</v>
      </c>
      <c r="C486" s="717" t="s">
        <v>531</v>
      </c>
      <c r="D486" s="718" t="s">
        <v>532</v>
      </c>
      <c r="E486" s="717" t="s">
        <v>2841</v>
      </c>
      <c r="F486" s="718" t="s">
        <v>2842</v>
      </c>
      <c r="G486" s="717" t="s">
        <v>2645</v>
      </c>
      <c r="H486" s="717" t="s">
        <v>2843</v>
      </c>
      <c r="I486" s="720">
        <v>150</v>
      </c>
      <c r="J486" s="720">
        <v>600</v>
      </c>
      <c r="K486" s="721">
        <v>90002.23046875</v>
      </c>
    </row>
    <row r="487" spans="1:11" ht="14.45" customHeight="1" x14ac:dyDescent="0.2">
      <c r="A487" s="715" t="s">
        <v>518</v>
      </c>
      <c r="B487" s="716" t="s">
        <v>519</v>
      </c>
      <c r="C487" s="717" t="s">
        <v>531</v>
      </c>
      <c r="D487" s="718" t="s">
        <v>532</v>
      </c>
      <c r="E487" s="717" t="s">
        <v>2841</v>
      </c>
      <c r="F487" s="718" t="s">
        <v>2842</v>
      </c>
      <c r="G487" s="717" t="s">
        <v>2844</v>
      </c>
      <c r="H487" s="717" t="s">
        <v>2845</v>
      </c>
      <c r="I487" s="720">
        <v>10.164999961853027</v>
      </c>
      <c r="J487" s="720">
        <v>5800</v>
      </c>
      <c r="K487" s="721">
        <v>58952.999969482422</v>
      </c>
    </row>
    <row r="488" spans="1:11" ht="14.45" customHeight="1" x14ac:dyDescent="0.2">
      <c r="A488" s="715" t="s">
        <v>518</v>
      </c>
      <c r="B488" s="716" t="s">
        <v>519</v>
      </c>
      <c r="C488" s="717" t="s">
        <v>531</v>
      </c>
      <c r="D488" s="718" t="s">
        <v>532</v>
      </c>
      <c r="E488" s="717" t="s">
        <v>2841</v>
      </c>
      <c r="F488" s="718" t="s">
        <v>2842</v>
      </c>
      <c r="G488" s="717" t="s">
        <v>2844</v>
      </c>
      <c r="H488" s="717" t="s">
        <v>2846</v>
      </c>
      <c r="I488" s="720">
        <v>10.166249990463257</v>
      </c>
      <c r="J488" s="720">
        <v>5000</v>
      </c>
      <c r="K488" s="721">
        <v>50835</v>
      </c>
    </row>
    <row r="489" spans="1:11" ht="14.45" customHeight="1" x14ac:dyDescent="0.2">
      <c r="A489" s="715" t="s">
        <v>518</v>
      </c>
      <c r="B489" s="716" t="s">
        <v>519</v>
      </c>
      <c r="C489" s="717" t="s">
        <v>531</v>
      </c>
      <c r="D489" s="718" t="s">
        <v>532</v>
      </c>
      <c r="E489" s="717" t="s">
        <v>2841</v>
      </c>
      <c r="F489" s="718" t="s">
        <v>2842</v>
      </c>
      <c r="G489" s="717" t="s">
        <v>2847</v>
      </c>
      <c r="H489" s="717" t="s">
        <v>2848</v>
      </c>
      <c r="I489" s="720">
        <v>121.96749877929688</v>
      </c>
      <c r="J489" s="720">
        <v>90</v>
      </c>
      <c r="K489" s="721">
        <v>14636.440449219197</v>
      </c>
    </row>
    <row r="490" spans="1:11" ht="14.45" customHeight="1" x14ac:dyDescent="0.2">
      <c r="A490" s="715" t="s">
        <v>518</v>
      </c>
      <c r="B490" s="716" t="s">
        <v>519</v>
      </c>
      <c r="C490" s="717" t="s">
        <v>531</v>
      </c>
      <c r="D490" s="718" t="s">
        <v>532</v>
      </c>
      <c r="E490" s="717" t="s">
        <v>2841</v>
      </c>
      <c r="F490" s="718" t="s">
        <v>2842</v>
      </c>
      <c r="G490" s="717" t="s">
        <v>2849</v>
      </c>
      <c r="H490" s="717" t="s">
        <v>2850</v>
      </c>
      <c r="I490" s="720">
        <v>181.5</v>
      </c>
      <c r="J490" s="720">
        <v>90</v>
      </c>
      <c r="K490" s="721">
        <v>16335</v>
      </c>
    </row>
    <row r="491" spans="1:11" ht="14.45" customHeight="1" x14ac:dyDescent="0.2">
      <c r="A491" s="715" t="s">
        <v>518</v>
      </c>
      <c r="B491" s="716" t="s">
        <v>519</v>
      </c>
      <c r="C491" s="717" t="s">
        <v>531</v>
      </c>
      <c r="D491" s="718" t="s">
        <v>532</v>
      </c>
      <c r="E491" s="717" t="s">
        <v>2841</v>
      </c>
      <c r="F491" s="718" t="s">
        <v>2842</v>
      </c>
      <c r="G491" s="717" t="s">
        <v>2847</v>
      </c>
      <c r="H491" s="717" t="s">
        <v>2851</v>
      </c>
      <c r="I491" s="720">
        <v>162.6199951171875</v>
      </c>
      <c r="J491" s="720">
        <v>60</v>
      </c>
      <c r="K491" s="721">
        <v>9757</v>
      </c>
    </row>
    <row r="492" spans="1:11" ht="14.45" customHeight="1" x14ac:dyDescent="0.2">
      <c r="A492" s="715" t="s">
        <v>518</v>
      </c>
      <c r="B492" s="716" t="s">
        <v>519</v>
      </c>
      <c r="C492" s="717" t="s">
        <v>531</v>
      </c>
      <c r="D492" s="718" t="s">
        <v>532</v>
      </c>
      <c r="E492" s="717" t="s">
        <v>2841</v>
      </c>
      <c r="F492" s="718" t="s">
        <v>2842</v>
      </c>
      <c r="G492" s="717" t="s">
        <v>2852</v>
      </c>
      <c r="H492" s="717" t="s">
        <v>2853</v>
      </c>
      <c r="I492" s="720">
        <v>7.0080001831054686</v>
      </c>
      <c r="J492" s="720">
        <v>1250</v>
      </c>
      <c r="K492" s="721">
        <v>8760</v>
      </c>
    </row>
    <row r="493" spans="1:11" ht="14.45" customHeight="1" x14ac:dyDescent="0.2">
      <c r="A493" s="715" t="s">
        <v>518</v>
      </c>
      <c r="B493" s="716" t="s">
        <v>519</v>
      </c>
      <c r="C493" s="717" t="s">
        <v>531</v>
      </c>
      <c r="D493" s="718" t="s">
        <v>532</v>
      </c>
      <c r="E493" s="717" t="s">
        <v>2841</v>
      </c>
      <c r="F493" s="718" t="s">
        <v>2842</v>
      </c>
      <c r="G493" s="717" t="s">
        <v>2852</v>
      </c>
      <c r="H493" s="717" t="s">
        <v>2854</v>
      </c>
      <c r="I493" s="720">
        <v>7.005000114440918</v>
      </c>
      <c r="J493" s="720">
        <v>125</v>
      </c>
      <c r="K493" s="721">
        <v>875.25</v>
      </c>
    </row>
    <row r="494" spans="1:11" ht="14.45" customHeight="1" x14ac:dyDescent="0.2">
      <c r="A494" s="715" t="s">
        <v>518</v>
      </c>
      <c r="B494" s="716" t="s">
        <v>519</v>
      </c>
      <c r="C494" s="717" t="s">
        <v>531</v>
      </c>
      <c r="D494" s="718" t="s">
        <v>532</v>
      </c>
      <c r="E494" s="717" t="s">
        <v>2855</v>
      </c>
      <c r="F494" s="718" t="s">
        <v>2856</v>
      </c>
      <c r="G494" s="717" t="s">
        <v>2857</v>
      </c>
      <c r="H494" s="717" t="s">
        <v>2858</v>
      </c>
      <c r="I494" s="720">
        <v>31.309999465942383</v>
      </c>
      <c r="J494" s="720">
        <v>36</v>
      </c>
      <c r="K494" s="721">
        <v>1127</v>
      </c>
    </row>
    <row r="495" spans="1:11" ht="14.45" customHeight="1" x14ac:dyDescent="0.2">
      <c r="A495" s="715" t="s">
        <v>518</v>
      </c>
      <c r="B495" s="716" t="s">
        <v>519</v>
      </c>
      <c r="C495" s="717" t="s">
        <v>531</v>
      </c>
      <c r="D495" s="718" t="s">
        <v>532</v>
      </c>
      <c r="E495" s="717" t="s">
        <v>2855</v>
      </c>
      <c r="F495" s="718" t="s">
        <v>2856</v>
      </c>
      <c r="G495" s="717" t="s">
        <v>2859</v>
      </c>
      <c r="H495" s="717" t="s">
        <v>2860</v>
      </c>
      <c r="I495" s="720">
        <v>33.599998474121094</v>
      </c>
      <c r="J495" s="720">
        <v>72</v>
      </c>
      <c r="K495" s="721">
        <v>2419.3798828125</v>
      </c>
    </row>
    <row r="496" spans="1:11" ht="14.45" customHeight="1" x14ac:dyDescent="0.2">
      <c r="A496" s="715" t="s">
        <v>518</v>
      </c>
      <c r="B496" s="716" t="s">
        <v>519</v>
      </c>
      <c r="C496" s="717" t="s">
        <v>531</v>
      </c>
      <c r="D496" s="718" t="s">
        <v>532</v>
      </c>
      <c r="E496" s="717" t="s">
        <v>2855</v>
      </c>
      <c r="F496" s="718" t="s">
        <v>2856</v>
      </c>
      <c r="G496" s="717" t="s">
        <v>2861</v>
      </c>
      <c r="H496" s="717" t="s">
        <v>2862</v>
      </c>
      <c r="I496" s="720">
        <v>45.029998779296875</v>
      </c>
      <c r="J496" s="720">
        <v>72</v>
      </c>
      <c r="K496" s="721">
        <v>3241.85009765625</v>
      </c>
    </row>
    <row r="497" spans="1:11" ht="14.45" customHeight="1" x14ac:dyDescent="0.2">
      <c r="A497" s="715" t="s">
        <v>518</v>
      </c>
      <c r="B497" s="716" t="s">
        <v>519</v>
      </c>
      <c r="C497" s="717" t="s">
        <v>531</v>
      </c>
      <c r="D497" s="718" t="s">
        <v>532</v>
      </c>
      <c r="E497" s="717" t="s">
        <v>2855</v>
      </c>
      <c r="F497" s="718" t="s">
        <v>2856</v>
      </c>
      <c r="G497" s="717" t="s">
        <v>2863</v>
      </c>
      <c r="H497" s="717" t="s">
        <v>2864</v>
      </c>
      <c r="I497" s="720">
        <v>41.810001373291016</v>
      </c>
      <c r="J497" s="720">
        <v>108</v>
      </c>
      <c r="K497" s="721">
        <v>4515.239990234375</v>
      </c>
    </row>
    <row r="498" spans="1:11" ht="14.45" customHeight="1" x14ac:dyDescent="0.2">
      <c r="A498" s="715" t="s">
        <v>518</v>
      </c>
      <c r="B498" s="716" t="s">
        <v>519</v>
      </c>
      <c r="C498" s="717" t="s">
        <v>531</v>
      </c>
      <c r="D498" s="718" t="s">
        <v>532</v>
      </c>
      <c r="E498" s="717" t="s">
        <v>2855</v>
      </c>
      <c r="F498" s="718" t="s">
        <v>2856</v>
      </c>
      <c r="G498" s="717" t="s">
        <v>2865</v>
      </c>
      <c r="H498" s="717" t="s">
        <v>2866</v>
      </c>
      <c r="I498" s="720">
        <v>35.310001373291016</v>
      </c>
      <c r="J498" s="720">
        <v>36</v>
      </c>
      <c r="K498" s="721">
        <v>1270.97998046875</v>
      </c>
    </row>
    <row r="499" spans="1:11" ht="14.45" customHeight="1" x14ac:dyDescent="0.2">
      <c r="A499" s="715" t="s">
        <v>518</v>
      </c>
      <c r="B499" s="716" t="s">
        <v>519</v>
      </c>
      <c r="C499" s="717" t="s">
        <v>531</v>
      </c>
      <c r="D499" s="718" t="s">
        <v>532</v>
      </c>
      <c r="E499" s="717" t="s">
        <v>2855</v>
      </c>
      <c r="F499" s="718" t="s">
        <v>2856</v>
      </c>
      <c r="G499" s="717" t="s">
        <v>2867</v>
      </c>
      <c r="H499" s="717" t="s">
        <v>2868</v>
      </c>
      <c r="I499" s="720">
        <v>28.649999618530273</v>
      </c>
      <c r="J499" s="720">
        <v>36</v>
      </c>
      <c r="K499" s="721">
        <v>1031.550048828125</v>
      </c>
    </row>
    <row r="500" spans="1:11" ht="14.45" customHeight="1" x14ac:dyDescent="0.2">
      <c r="A500" s="715" t="s">
        <v>518</v>
      </c>
      <c r="B500" s="716" t="s">
        <v>519</v>
      </c>
      <c r="C500" s="717" t="s">
        <v>531</v>
      </c>
      <c r="D500" s="718" t="s">
        <v>532</v>
      </c>
      <c r="E500" s="717" t="s">
        <v>2855</v>
      </c>
      <c r="F500" s="718" t="s">
        <v>2856</v>
      </c>
      <c r="G500" s="717" t="s">
        <v>2869</v>
      </c>
      <c r="H500" s="717" t="s">
        <v>2870</v>
      </c>
      <c r="I500" s="720">
        <v>42.169998168945313</v>
      </c>
      <c r="J500" s="720">
        <v>36</v>
      </c>
      <c r="K500" s="721">
        <v>1517.97998046875</v>
      </c>
    </row>
    <row r="501" spans="1:11" ht="14.45" customHeight="1" x14ac:dyDescent="0.2">
      <c r="A501" s="715" t="s">
        <v>518</v>
      </c>
      <c r="B501" s="716" t="s">
        <v>519</v>
      </c>
      <c r="C501" s="717" t="s">
        <v>531</v>
      </c>
      <c r="D501" s="718" t="s">
        <v>532</v>
      </c>
      <c r="E501" s="717" t="s">
        <v>2855</v>
      </c>
      <c r="F501" s="718" t="s">
        <v>2856</v>
      </c>
      <c r="G501" s="717" t="s">
        <v>2859</v>
      </c>
      <c r="H501" s="717" t="s">
        <v>2871</v>
      </c>
      <c r="I501" s="720">
        <v>33.599998474121094</v>
      </c>
      <c r="J501" s="720">
        <v>108</v>
      </c>
      <c r="K501" s="721">
        <v>3629.06982421875</v>
      </c>
    </row>
    <row r="502" spans="1:11" ht="14.45" customHeight="1" x14ac:dyDescent="0.2">
      <c r="A502" s="715" t="s">
        <v>518</v>
      </c>
      <c r="B502" s="716" t="s">
        <v>519</v>
      </c>
      <c r="C502" s="717" t="s">
        <v>531</v>
      </c>
      <c r="D502" s="718" t="s">
        <v>532</v>
      </c>
      <c r="E502" s="717" t="s">
        <v>2855</v>
      </c>
      <c r="F502" s="718" t="s">
        <v>2856</v>
      </c>
      <c r="G502" s="717" t="s">
        <v>2872</v>
      </c>
      <c r="H502" s="717" t="s">
        <v>2873</v>
      </c>
      <c r="I502" s="720">
        <v>125.12000274658203</v>
      </c>
      <c r="J502" s="720">
        <v>12</v>
      </c>
      <c r="K502" s="721">
        <v>1501.43994140625</v>
      </c>
    </row>
    <row r="503" spans="1:11" ht="14.45" customHeight="1" x14ac:dyDescent="0.2">
      <c r="A503" s="715" t="s">
        <v>518</v>
      </c>
      <c r="B503" s="716" t="s">
        <v>519</v>
      </c>
      <c r="C503" s="717" t="s">
        <v>531</v>
      </c>
      <c r="D503" s="718" t="s">
        <v>532</v>
      </c>
      <c r="E503" s="717" t="s">
        <v>2855</v>
      </c>
      <c r="F503" s="718" t="s">
        <v>2856</v>
      </c>
      <c r="G503" s="717" t="s">
        <v>2861</v>
      </c>
      <c r="H503" s="717" t="s">
        <v>2874</v>
      </c>
      <c r="I503" s="720">
        <v>45.029998779296875</v>
      </c>
      <c r="J503" s="720">
        <v>108</v>
      </c>
      <c r="K503" s="721">
        <v>4862.7901611328125</v>
      </c>
    </row>
    <row r="504" spans="1:11" ht="14.45" customHeight="1" x14ac:dyDescent="0.2">
      <c r="A504" s="715" t="s">
        <v>518</v>
      </c>
      <c r="B504" s="716" t="s">
        <v>519</v>
      </c>
      <c r="C504" s="717" t="s">
        <v>531</v>
      </c>
      <c r="D504" s="718" t="s">
        <v>532</v>
      </c>
      <c r="E504" s="717" t="s">
        <v>2855</v>
      </c>
      <c r="F504" s="718" t="s">
        <v>2856</v>
      </c>
      <c r="G504" s="717" t="s">
        <v>2863</v>
      </c>
      <c r="H504" s="717" t="s">
        <v>2875</v>
      </c>
      <c r="I504" s="720">
        <v>41.810001373291016</v>
      </c>
      <c r="J504" s="720">
        <v>36</v>
      </c>
      <c r="K504" s="721">
        <v>1505.1199951171875</v>
      </c>
    </row>
    <row r="505" spans="1:11" ht="14.45" customHeight="1" x14ac:dyDescent="0.2">
      <c r="A505" s="715" t="s">
        <v>518</v>
      </c>
      <c r="B505" s="716" t="s">
        <v>519</v>
      </c>
      <c r="C505" s="717" t="s">
        <v>531</v>
      </c>
      <c r="D505" s="718" t="s">
        <v>532</v>
      </c>
      <c r="E505" s="717" t="s">
        <v>2855</v>
      </c>
      <c r="F505" s="718" t="s">
        <v>2856</v>
      </c>
      <c r="G505" s="717" t="s">
        <v>2876</v>
      </c>
      <c r="H505" s="717" t="s">
        <v>2877</v>
      </c>
      <c r="I505" s="720">
        <v>26.899999618530273</v>
      </c>
      <c r="J505" s="720">
        <v>20</v>
      </c>
      <c r="K505" s="721">
        <v>538.03997802734375</v>
      </c>
    </row>
    <row r="506" spans="1:11" ht="14.45" customHeight="1" x14ac:dyDescent="0.2">
      <c r="A506" s="715" t="s">
        <v>518</v>
      </c>
      <c r="B506" s="716" t="s">
        <v>519</v>
      </c>
      <c r="C506" s="717" t="s">
        <v>531</v>
      </c>
      <c r="D506" s="718" t="s">
        <v>532</v>
      </c>
      <c r="E506" s="717" t="s">
        <v>2878</v>
      </c>
      <c r="F506" s="718" t="s">
        <v>2879</v>
      </c>
      <c r="G506" s="717" t="s">
        <v>2880</v>
      </c>
      <c r="H506" s="717" t="s">
        <v>2881</v>
      </c>
      <c r="I506" s="720">
        <v>11.649999618530273</v>
      </c>
      <c r="J506" s="720">
        <v>10</v>
      </c>
      <c r="K506" s="721">
        <v>116.51999664306641</v>
      </c>
    </row>
    <row r="507" spans="1:11" ht="14.45" customHeight="1" x14ac:dyDescent="0.2">
      <c r="A507" s="715" t="s">
        <v>518</v>
      </c>
      <c r="B507" s="716" t="s">
        <v>519</v>
      </c>
      <c r="C507" s="717" t="s">
        <v>531</v>
      </c>
      <c r="D507" s="718" t="s">
        <v>532</v>
      </c>
      <c r="E507" s="717" t="s">
        <v>2878</v>
      </c>
      <c r="F507" s="718" t="s">
        <v>2879</v>
      </c>
      <c r="G507" s="717" t="s">
        <v>2882</v>
      </c>
      <c r="H507" s="717" t="s">
        <v>2883</v>
      </c>
      <c r="I507" s="720">
        <v>12</v>
      </c>
      <c r="J507" s="720">
        <v>10</v>
      </c>
      <c r="K507" s="721">
        <v>120.01999664306641</v>
      </c>
    </row>
    <row r="508" spans="1:11" ht="14.45" customHeight="1" x14ac:dyDescent="0.2">
      <c r="A508" s="715" t="s">
        <v>518</v>
      </c>
      <c r="B508" s="716" t="s">
        <v>519</v>
      </c>
      <c r="C508" s="717" t="s">
        <v>531</v>
      </c>
      <c r="D508" s="718" t="s">
        <v>532</v>
      </c>
      <c r="E508" s="717" t="s">
        <v>2878</v>
      </c>
      <c r="F508" s="718" t="s">
        <v>2879</v>
      </c>
      <c r="G508" s="717" t="s">
        <v>2880</v>
      </c>
      <c r="H508" s="717" t="s">
        <v>2884</v>
      </c>
      <c r="I508" s="720">
        <v>11.659999847412109</v>
      </c>
      <c r="J508" s="720">
        <v>10</v>
      </c>
      <c r="K508" s="721">
        <v>116.63999938964844</v>
      </c>
    </row>
    <row r="509" spans="1:11" ht="14.45" customHeight="1" x14ac:dyDescent="0.2">
      <c r="A509" s="715" t="s">
        <v>518</v>
      </c>
      <c r="B509" s="716" t="s">
        <v>519</v>
      </c>
      <c r="C509" s="717" t="s">
        <v>531</v>
      </c>
      <c r="D509" s="718" t="s">
        <v>532</v>
      </c>
      <c r="E509" s="717" t="s">
        <v>2878</v>
      </c>
      <c r="F509" s="718" t="s">
        <v>2879</v>
      </c>
      <c r="G509" s="717" t="s">
        <v>2882</v>
      </c>
      <c r="H509" s="717" t="s">
        <v>2885</v>
      </c>
      <c r="I509" s="720">
        <v>11.989999771118164</v>
      </c>
      <c r="J509" s="720">
        <v>10</v>
      </c>
      <c r="K509" s="721">
        <v>119.91000366210938</v>
      </c>
    </row>
    <row r="510" spans="1:11" ht="14.45" customHeight="1" x14ac:dyDescent="0.2">
      <c r="A510" s="715" t="s">
        <v>518</v>
      </c>
      <c r="B510" s="716" t="s">
        <v>519</v>
      </c>
      <c r="C510" s="717" t="s">
        <v>531</v>
      </c>
      <c r="D510" s="718" t="s">
        <v>532</v>
      </c>
      <c r="E510" s="717" t="s">
        <v>2878</v>
      </c>
      <c r="F510" s="718" t="s">
        <v>2879</v>
      </c>
      <c r="G510" s="717" t="s">
        <v>2886</v>
      </c>
      <c r="H510" s="717" t="s">
        <v>2887</v>
      </c>
      <c r="I510" s="720">
        <v>0.30000001192092896</v>
      </c>
      <c r="J510" s="720">
        <v>200</v>
      </c>
      <c r="K510" s="721">
        <v>60</v>
      </c>
    </row>
    <row r="511" spans="1:11" ht="14.45" customHeight="1" x14ac:dyDescent="0.2">
      <c r="A511" s="715" t="s">
        <v>518</v>
      </c>
      <c r="B511" s="716" t="s">
        <v>519</v>
      </c>
      <c r="C511" s="717" t="s">
        <v>531</v>
      </c>
      <c r="D511" s="718" t="s">
        <v>532</v>
      </c>
      <c r="E511" s="717" t="s">
        <v>2878</v>
      </c>
      <c r="F511" s="718" t="s">
        <v>2879</v>
      </c>
      <c r="G511" s="717" t="s">
        <v>2888</v>
      </c>
      <c r="H511" s="717" t="s">
        <v>2889</v>
      </c>
      <c r="I511" s="720">
        <v>0.30375000834465027</v>
      </c>
      <c r="J511" s="720">
        <v>5500</v>
      </c>
      <c r="K511" s="721">
        <v>1675</v>
      </c>
    </row>
    <row r="512" spans="1:11" ht="14.45" customHeight="1" x14ac:dyDescent="0.2">
      <c r="A512" s="715" t="s">
        <v>518</v>
      </c>
      <c r="B512" s="716" t="s">
        <v>519</v>
      </c>
      <c r="C512" s="717" t="s">
        <v>531</v>
      </c>
      <c r="D512" s="718" t="s">
        <v>532</v>
      </c>
      <c r="E512" s="717" t="s">
        <v>2878</v>
      </c>
      <c r="F512" s="718" t="s">
        <v>2879</v>
      </c>
      <c r="G512" s="717" t="s">
        <v>2890</v>
      </c>
      <c r="H512" s="717" t="s">
        <v>2891</v>
      </c>
      <c r="I512" s="720">
        <v>0.3033333420753479</v>
      </c>
      <c r="J512" s="720">
        <v>1600</v>
      </c>
      <c r="K512" s="721">
        <v>485</v>
      </c>
    </row>
    <row r="513" spans="1:11" ht="14.45" customHeight="1" x14ac:dyDescent="0.2">
      <c r="A513" s="715" t="s">
        <v>518</v>
      </c>
      <c r="B513" s="716" t="s">
        <v>519</v>
      </c>
      <c r="C513" s="717" t="s">
        <v>531</v>
      </c>
      <c r="D513" s="718" t="s">
        <v>532</v>
      </c>
      <c r="E513" s="717" t="s">
        <v>2878</v>
      </c>
      <c r="F513" s="718" t="s">
        <v>2879</v>
      </c>
      <c r="G513" s="717" t="s">
        <v>2892</v>
      </c>
      <c r="H513" s="717" t="s">
        <v>2893</v>
      </c>
      <c r="I513" s="720">
        <v>0.54500001668930054</v>
      </c>
      <c r="J513" s="720">
        <v>19000</v>
      </c>
      <c r="K513" s="721">
        <v>10360</v>
      </c>
    </row>
    <row r="514" spans="1:11" ht="14.45" customHeight="1" x14ac:dyDescent="0.2">
      <c r="A514" s="715" t="s">
        <v>518</v>
      </c>
      <c r="B514" s="716" t="s">
        <v>519</v>
      </c>
      <c r="C514" s="717" t="s">
        <v>531</v>
      </c>
      <c r="D514" s="718" t="s">
        <v>532</v>
      </c>
      <c r="E514" s="717" t="s">
        <v>2878</v>
      </c>
      <c r="F514" s="718" t="s">
        <v>2879</v>
      </c>
      <c r="G514" s="717" t="s">
        <v>2886</v>
      </c>
      <c r="H514" s="717" t="s">
        <v>2894</v>
      </c>
      <c r="I514" s="720">
        <v>0.30500000715255737</v>
      </c>
      <c r="J514" s="720">
        <v>900</v>
      </c>
      <c r="K514" s="721">
        <v>275</v>
      </c>
    </row>
    <row r="515" spans="1:11" ht="14.45" customHeight="1" x14ac:dyDescent="0.2">
      <c r="A515" s="715" t="s">
        <v>518</v>
      </c>
      <c r="B515" s="716" t="s">
        <v>519</v>
      </c>
      <c r="C515" s="717" t="s">
        <v>531</v>
      </c>
      <c r="D515" s="718" t="s">
        <v>532</v>
      </c>
      <c r="E515" s="717" t="s">
        <v>2878</v>
      </c>
      <c r="F515" s="718" t="s">
        <v>2879</v>
      </c>
      <c r="G515" s="717" t="s">
        <v>2888</v>
      </c>
      <c r="H515" s="717" t="s">
        <v>2895</v>
      </c>
      <c r="I515" s="720">
        <v>0.30666667222976685</v>
      </c>
      <c r="J515" s="720">
        <v>5700</v>
      </c>
      <c r="K515" s="721">
        <v>1741</v>
      </c>
    </row>
    <row r="516" spans="1:11" ht="14.45" customHeight="1" x14ac:dyDescent="0.2">
      <c r="A516" s="715" t="s">
        <v>518</v>
      </c>
      <c r="B516" s="716" t="s">
        <v>519</v>
      </c>
      <c r="C516" s="717" t="s">
        <v>531</v>
      </c>
      <c r="D516" s="718" t="s">
        <v>532</v>
      </c>
      <c r="E516" s="717" t="s">
        <v>2878</v>
      </c>
      <c r="F516" s="718" t="s">
        <v>2879</v>
      </c>
      <c r="G516" s="717" t="s">
        <v>2890</v>
      </c>
      <c r="H516" s="717" t="s">
        <v>2896</v>
      </c>
      <c r="I516" s="720">
        <v>0.30714286225182669</v>
      </c>
      <c r="J516" s="720">
        <v>2200</v>
      </c>
      <c r="K516" s="721">
        <v>676.6899995803833</v>
      </c>
    </row>
    <row r="517" spans="1:11" ht="14.45" customHeight="1" x14ac:dyDescent="0.2">
      <c r="A517" s="715" t="s">
        <v>518</v>
      </c>
      <c r="B517" s="716" t="s">
        <v>519</v>
      </c>
      <c r="C517" s="717" t="s">
        <v>531</v>
      </c>
      <c r="D517" s="718" t="s">
        <v>532</v>
      </c>
      <c r="E517" s="717" t="s">
        <v>2878</v>
      </c>
      <c r="F517" s="718" t="s">
        <v>2879</v>
      </c>
      <c r="G517" s="717" t="s">
        <v>2897</v>
      </c>
      <c r="H517" s="717" t="s">
        <v>2898</v>
      </c>
      <c r="I517" s="720">
        <v>0.67000001668930054</v>
      </c>
      <c r="J517" s="720">
        <v>100</v>
      </c>
      <c r="K517" s="721">
        <v>67</v>
      </c>
    </row>
    <row r="518" spans="1:11" ht="14.45" customHeight="1" x14ac:dyDescent="0.2">
      <c r="A518" s="715" t="s">
        <v>518</v>
      </c>
      <c r="B518" s="716" t="s">
        <v>519</v>
      </c>
      <c r="C518" s="717" t="s">
        <v>531</v>
      </c>
      <c r="D518" s="718" t="s">
        <v>532</v>
      </c>
      <c r="E518" s="717" t="s">
        <v>2878</v>
      </c>
      <c r="F518" s="718" t="s">
        <v>2879</v>
      </c>
      <c r="G518" s="717" t="s">
        <v>2892</v>
      </c>
      <c r="H518" s="717" t="s">
        <v>2899</v>
      </c>
      <c r="I518" s="720">
        <v>0.54500001668930054</v>
      </c>
      <c r="J518" s="720">
        <v>19000</v>
      </c>
      <c r="K518" s="721">
        <v>10360</v>
      </c>
    </row>
    <row r="519" spans="1:11" ht="14.45" customHeight="1" x14ac:dyDescent="0.2">
      <c r="A519" s="715" t="s">
        <v>518</v>
      </c>
      <c r="B519" s="716" t="s">
        <v>519</v>
      </c>
      <c r="C519" s="717" t="s">
        <v>531</v>
      </c>
      <c r="D519" s="718" t="s">
        <v>532</v>
      </c>
      <c r="E519" s="717" t="s">
        <v>2878</v>
      </c>
      <c r="F519" s="718" t="s">
        <v>2879</v>
      </c>
      <c r="G519" s="717" t="s">
        <v>2900</v>
      </c>
      <c r="H519" s="717" t="s">
        <v>2901</v>
      </c>
      <c r="I519" s="720">
        <v>1.809999942779541</v>
      </c>
      <c r="J519" s="720">
        <v>100</v>
      </c>
      <c r="K519" s="721">
        <v>181</v>
      </c>
    </row>
    <row r="520" spans="1:11" ht="14.45" customHeight="1" x14ac:dyDescent="0.2">
      <c r="A520" s="715" t="s">
        <v>518</v>
      </c>
      <c r="B520" s="716" t="s">
        <v>519</v>
      </c>
      <c r="C520" s="717" t="s">
        <v>531</v>
      </c>
      <c r="D520" s="718" t="s">
        <v>532</v>
      </c>
      <c r="E520" s="717" t="s">
        <v>2878</v>
      </c>
      <c r="F520" s="718" t="s">
        <v>2879</v>
      </c>
      <c r="G520" s="717" t="s">
        <v>2902</v>
      </c>
      <c r="H520" s="717" t="s">
        <v>2903</v>
      </c>
      <c r="I520" s="720">
        <v>1.8049999475479126</v>
      </c>
      <c r="J520" s="720">
        <v>400</v>
      </c>
      <c r="K520" s="721">
        <v>721</v>
      </c>
    </row>
    <row r="521" spans="1:11" ht="14.45" customHeight="1" x14ac:dyDescent="0.2">
      <c r="A521" s="715" t="s">
        <v>518</v>
      </c>
      <c r="B521" s="716" t="s">
        <v>519</v>
      </c>
      <c r="C521" s="717" t="s">
        <v>531</v>
      </c>
      <c r="D521" s="718" t="s">
        <v>532</v>
      </c>
      <c r="E521" s="717" t="s">
        <v>2904</v>
      </c>
      <c r="F521" s="718" t="s">
        <v>2905</v>
      </c>
      <c r="G521" s="717" t="s">
        <v>2906</v>
      </c>
      <c r="H521" s="717" t="s">
        <v>2907</v>
      </c>
      <c r="I521" s="720">
        <v>24.200000762939453</v>
      </c>
      <c r="J521" s="720">
        <v>250</v>
      </c>
      <c r="K521" s="721">
        <v>6050</v>
      </c>
    </row>
    <row r="522" spans="1:11" ht="14.45" customHeight="1" x14ac:dyDescent="0.2">
      <c r="A522" s="715" t="s">
        <v>518</v>
      </c>
      <c r="B522" s="716" t="s">
        <v>519</v>
      </c>
      <c r="C522" s="717" t="s">
        <v>531</v>
      </c>
      <c r="D522" s="718" t="s">
        <v>532</v>
      </c>
      <c r="E522" s="717" t="s">
        <v>2904</v>
      </c>
      <c r="F522" s="718" t="s">
        <v>2905</v>
      </c>
      <c r="G522" s="717" t="s">
        <v>2908</v>
      </c>
      <c r="H522" s="717" t="s">
        <v>2909</v>
      </c>
      <c r="I522" s="720">
        <v>15.729999542236328</v>
      </c>
      <c r="J522" s="720">
        <v>200</v>
      </c>
      <c r="K522" s="721">
        <v>3146</v>
      </c>
    </row>
    <row r="523" spans="1:11" ht="14.45" customHeight="1" x14ac:dyDescent="0.2">
      <c r="A523" s="715" t="s">
        <v>518</v>
      </c>
      <c r="B523" s="716" t="s">
        <v>519</v>
      </c>
      <c r="C523" s="717" t="s">
        <v>531</v>
      </c>
      <c r="D523" s="718" t="s">
        <v>532</v>
      </c>
      <c r="E523" s="717" t="s">
        <v>2904</v>
      </c>
      <c r="F523" s="718" t="s">
        <v>2905</v>
      </c>
      <c r="G523" s="717" t="s">
        <v>2910</v>
      </c>
      <c r="H523" s="717" t="s">
        <v>2911</v>
      </c>
      <c r="I523" s="720">
        <v>15.729999542236328</v>
      </c>
      <c r="J523" s="720">
        <v>150</v>
      </c>
      <c r="K523" s="721">
        <v>2359.5</v>
      </c>
    </row>
    <row r="524" spans="1:11" ht="14.45" customHeight="1" x14ac:dyDescent="0.2">
      <c r="A524" s="715" t="s">
        <v>518</v>
      </c>
      <c r="B524" s="716" t="s">
        <v>519</v>
      </c>
      <c r="C524" s="717" t="s">
        <v>531</v>
      </c>
      <c r="D524" s="718" t="s">
        <v>532</v>
      </c>
      <c r="E524" s="717" t="s">
        <v>2904</v>
      </c>
      <c r="F524" s="718" t="s">
        <v>2905</v>
      </c>
      <c r="G524" s="717" t="s">
        <v>2912</v>
      </c>
      <c r="H524" s="717" t="s">
        <v>2913</v>
      </c>
      <c r="I524" s="720">
        <v>15.729999542236328</v>
      </c>
      <c r="J524" s="720">
        <v>100</v>
      </c>
      <c r="K524" s="721">
        <v>1573</v>
      </c>
    </row>
    <row r="525" spans="1:11" ht="14.45" customHeight="1" x14ac:dyDescent="0.2">
      <c r="A525" s="715" t="s">
        <v>518</v>
      </c>
      <c r="B525" s="716" t="s">
        <v>519</v>
      </c>
      <c r="C525" s="717" t="s">
        <v>531</v>
      </c>
      <c r="D525" s="718" t="s">
        <v>532</v>
      </c>
      <c r="E525" s="717" t="s">
        <v>2904</v>
      </c>
      <c r="F525" s="718" t="s">
        <v>2905</v>
      </c>
      <c r="G525" s="717" t="s">
        <v>2914</v>
      </c>
      <c r="H525" s="717" t="s">
        <v>2915</v>
      </c>
      <c r="I525" s="720">
        <v>15.729999542236328</v>
      </c>
      <c r="J525" s="720">
        <v>100</v>
      </c>
      <c r="K525" s="721">
        <v>1573</v>
      </c>
    </row>
    <row r="526" spans="1:11" ht="14.45" customHeight="1" x14ac:dyDescent="0.2">
      <c r="A526" s="715" t="s">
        <v>518</v>
      </c>
      <c r="B526" s="716" t="s">
        <v>519</v>
      </c>
      <c r="C526" s="717" t="s">
        <v>531</v>
      </c>
      <c r="D526" s="718" t="s">
        <v>532</v>
      </c>
      <c r="E526" s="717" t="s">
        <v>2904</v>
      </c>
      <c r="F526" s="718" t="s">
        <v>2905</v>
      </c>
      <c r="G526" s="717" t="s">
        <v>2916</v>
      </c>
      <c r="H526" s="717" t="s">
        <v>2917</v>
      </c>
      <c r="I526" s="720">
        <v>15.729999542236328</v>
      </c>
      <c r="J526" s="720">
        <v>100</v>
      </c>
      <c r="K526" s="721">
        <v>1573</v>
      </c>
    </row>
    <row r="527" spans="1:11" ht="14.45" customHeight="1" x14ac:dyDescent="0.2">
      <c r="A527" s="715" t="s">
        <v>518</v>
      </c>
      <c r="B527" s="716" t="s">
        <v>519</v>
      </c>
      <c r="C527" s="717" t="s">
        <v>531</v>
      </c>
      <c r="D527" s="718" t="s">
        <v>532</v>
      </c>
      <c r="E527" s="717" t="s">
        <v>2904</v>
      </c>
      <c r="F527" s="718" t="s">
        <v>2905</v>
      </c>
      <c r="G527" s="717" t="s">
        <v>2906</v>
      </c>
      <c r="H527" s="717" t="s">
        <v>2918</v>
      </c>
      <c r="I527" s="720">
        <v>24.200000762939453</v>
      </c>
      <c r="J527" s="720">
        <v>200</v>
      </c>
      <c r="K527" s="721">
        <v>4840</v>
      </c>
    </row>
    <row r="528" spans="1:11" ht="14.45" customHeight="1" x14ac:dyDescent="0.2">
      <c r="A528" s="715" t="s">
        <v>518</v>
      </c>
      <c r="B528" s="716" t="s">
        <v>519</v>
      </c>
      <c r="C528" s="717" t="s">
        <v>531</v>
      </c>
      <c r="D528" s="718" t="s">
        <v>532</v>
      </c>
      <c r="E528" s="717" t="s">
        <v>2904</v>
      </c>
      <c r="F528" s="718" t="s">
        <v>2905</v>
      </c>
      <c r="G528" s="717" t="s">
        <v>2908</v>
      </c>
      <c r="H528" s="717" t="s">
        <v>2919</v>
      </c>
      <c r="I528" s="720">
        <v>15.729999542236328</v>
      </c>
      <c r="J528" s="720">
        <v>250</v>
      </c>
      <c r="K528" s="721">
        <v>3932.5</v>
      </c>
    </row>
    <row r="529" spans="1:11" ht="14.45" customHeight="1" x14ac:dyDescent="0.2">
      <c r="A529" s="715" t="s">
        <v>518</v>
      </c>
      <c r="B529" s="716" t="s">
        <v>519</v>
      </c>
      <c r="C529" s="717" t="s">
        <v>531</v>
      </c>
      <c r="D529" s="718" t="s">
        <v>532</v>
      </c>
      <c r="E529" s="717" t="s">
        <v>2904</v>
      </c>
      <c r="F529" s="718" t="s">
        <v>2905</v>
      </c>
      <c r="G529" s="717" t="s">
        <v>2910</v>
      </c>
      <c r="H529" s="717" t="s">
        <v>2920</v>
      </c>
      <c r="I529" s="720">
        <v>15.729999542236328</v>
      </c>
      <c r="J529" s="720">
        <v>200</v>
      </c>
      <c r="K529" s="721">
        <v>3146</v>
      </c>
    </row>
    <row r="530" spans="1:11" ht="14.45" customHeight="1" x14ac:dyDescent="0.2">
      <c r="A530" s="715" t="s">
        <v>518</v>
      </c>
      <c r="B530" s="716" t="s">
        <v>519</v>
      </c>
      <c r="C530" s="717" t="s">
        <v>531</v>
      </c>
      <c r="D530" s="718" t="s">
        <v>532</v>
      </c>
      <c r="E530" s="717" t="s">
        <v>2904</v>
      </c>
      <c r="F530" s="718" t="s">
        <v>2905</v>
      </c>
      <c r="G530" s="717" t="s">
        <v>2912</v>
      </c>
      <c r="H530" s="717" t="s">
        <v>2921</v>
      </c>
      <c r="I530" s="720">
        <v>15.729999542236328</v>
      </c>
      <c r="J530" s="720">
        <v>150</v>
      </c>
      <c r="K530" s="721">
        <v>2359.5</v>
      </c>
    </row>
    <row r="531" spans="1:11" ht="14.45" customHeight="1" x14ac:dyDescent="0.2">
      <c r="A531" s="715" t="s">
        <v>518</v>
      </c>
      <c r="B531" s="716" t="s">
        <v>519</v>
      </c>
      <c r="C531" s="717" t="s">
        <v>531</v>
      </c>
      <c r="D531" s="718" t="s">
        <v>532</v>
      </c>
      <c r="E531" s="717" t="s">
        <v>2904</v>
      </c>
      <c r="F531" s="718" t="s">
        <v>2905</v>
      </c>
      <c r="G531" s="717" t="s">
        <v>2914</v>
      </c>
      <c r="H531" s="717" t="s">
        <v>2922</v>
      </c>
      <c r="I531" s="720">
        <v>15.550000190734863</v>
      </c>
      <c r="J531" s="720">
        <v>50</v>
      </c>
      <c r="K531" s="721">
        <v>777.5</v>
      </c>
    </row>
    <row r="532" spans="1:11" ht="14.45" customHeight="1" x14ac:dyDescent="0.2">
      <c r="A532" s="715" t="s">
        <v>518</v>
      </c>
      <c r="B532" s="716" t="s">
        <v>519</v>
      </c>
      <c r="C532" s="717" t="s">
        <v>531</v>
      </c>
      <c r="D532" s="718" t="s">
        <v>532</v>
      </c>
      <c r="E532" s="717" t="s">
        <v>2904</v>
      </c>
      <c r="F532" s="718" t="s">
        <v>2905</v>
      </c>
      <c r="G532" s="717" t="s">
        <v>2916</v>
      </c>
      <c r="H532" s="717" t="s">
        <v>2923</v>
      </c>
      <c r="I532" s="720">
        <v>15.729999542236328</v>
      </c>
      <c r="J532" s="720">
        <v>150</v>
      </c>
      <c r="K532" s="721">
        <v>2359.5</v>
      </c>
    </row>
    <row r="533" spans="1:11" ht="14.45" customHeight="1" x14ac:dyDescent="0.2">
      <c r="A533" s="715" t="s">
        <v>518</v>
      </c>
      <c r="B533" s="716" t="s">
        <v>519</v>
      </c>
      <c r="C533" s="717" t="s">
        <v>531</v>
      </c>
      <c r="D533" s="718" t="s">
        <v>532</v>
      </c>
      <c r="E533" s="717" t="s">
        <v>2904</v>
      </c>
      <c r="F533" s="718" t="s">
        <v>2905</v>
      </c>
      <c r="G533" s="717" t="s">
        <v>2924</v>
      </c>
      <c r="H533" s="717" t="s">
        <v>2925</v>
      </c>
      <c r="I533" s="720">
        <v>0.62999999523162842</v>
      </c>
      <c r="J533" s="720">
        <v>36000</v>
      </c>
      <c r="K533" s="721">
        <v>22680</v>
      </c>
    </row>
    <row r="534" spans="1:11" ht="14.45" customHeight="1" x14ac:dyDescent="0.2">
      <c r="A534" s="715" t="s">
        <v>518</v>
      </c>
      <c r="B534" s="716" t="s">
        <v>519</v>
      </c>
      <c r="C534" s="717" t="s">
        <v>531</v>
      </c>
      <c r="D534" s="718" t="s">
        <v>532</v>
      </c>
      <c r="E534" s="717" t="s">
        <v>2904</v>
      </c>
      <c r="F534" s="718" t="s">
        <v>2905</v>
      </c>
      <c r="G534" s="717" t="s">
        <v>2926</v>
      </c>
      <c r="H534" s="717" t="s">
        <v>2927</v>
      </c>
      <c r="I534" s="720">
        <v>0.62999999523162842</v>
      </c>
      <c r="J534" s="720">
        <v>56000</v>
      </c>
      <c r="K534" s="721">
        <v>35280</v>
      </c>
    </row>
    <row r="535" spans="1:11" ht="14.45" customHeight="1" x14ac:dyDescent="0.2">
      <c r="A535" s="715" t="s">
        <v>518</v>
      </c>
      <c r="B535" s="716" t="s">
        <v>519</v>
      </c>
      <c r="C535" s="717" t="s">
        <v>531</v>
      </c>
      <c r="D535" s="718" t="s">
        <v>532</v>
      </c>
      <c r="E535" s="717" t="s">
        <v>2904</v>
      </c>
      <c r="F535" s="718" t="s">
        <v>2905</v>
      </c>
      <c r="G535" s="717" t="s">
        <v>2928</v>
      </c>
      <c r="H535" s="717" t="s">
        <v>2929</v>
      </c>
      <c r="I535" s="720">
        <v>0.62999999523162842</v>
      </c>
      <c r="J535" s="720">
        <v>10000</v>
      </c>
      <c r="K535" s="721">
        <v>6300</v>
      </c>
    </row>
    <row r="536" spans="1:11" ht="14.45" customHeight="1" x14ac:dyDescent="0.2">
      <c r="A536" s="715" t="s">
        <v>518</v>
      </c>
      <c r="B536" s="716" t="s">
        <v>519</v>
      </c>
      <c r="C536" s="717" t="s">
        <v>531</v>
      </c>
      <c r="D536" s="718" t="s">
        <v>532</v>
      </c>
      <c r="E536" s="717" t="s">
        <v>2904</v>
      </c>
      <c r="F536" s="718" t="s">
        <v>2905</v>
      </c>
      <c r="G536" s="717" t="s">
        <v>2930</v>
      </c>
      <c r="H536" s="717" t="s">
        <v>2931</v>
      </c>
      <c r="I536" s="720">
        <v>0.62999999523162842</v>
      </c>
      <c r="J536" s="720">
        <v>3400</v>
      </c>
      <c r="K536" s="721">
        <v>2142</v>
      </c>
    </row>
    <row r="537" spans="1:11" ht="14.45" customHeight="1" x14ac:dyDescent="0.2">
      <c r="A537" s="715" t="s">
        <v>518</v>
      </c>
      <c r="B537" s="716" t="s">
        <v>519</v>
      </c>
      <c r="C537" s="717" t="s">
        <v>531</v>
      </c>
      <c r="D537" s="718" t="s">
        <v>532</v>
      </c>
      <c r="E537" s="717" t="s">
        <v>2904</v>
      </c>
      <c r="F537" s="718" t="s">
        <v>2905</v>
      </c>
      <c r="G537" s="717" t="s">
        <v>2924</v>
      </c>
      <c r="H537" s="717" t="s">
        <v>2932</v>
      </c>
      <c r="I537" s="720">
        <v>0.62999999523162842</v>
      </c>
      <c r="J537" s="720">
        <v>22000</v>
      </c>
      <c r="K537" s="721">
        <v>13860</v>
      </c>
    </row>
    <row r="538" spans="1:11" ht="14.45" customHeight="1" x14ac:dyDescent="0.2">
      <c r="A538" s="715" t="s">
        <v>518</v>
      </c>
      <c r="B538" s="716" t="s">
        <v>519</v>
      </c>
      <c r="C538" s="717" t="s">
        <v>531</v>
      </c>
      <c r="D538" s="718" t="s">
        <v>532</v>
      </c>
      <c r="E538" s="717" t="s">
        <v>2904</v>
      </c>
      <c r="F538" s="718" t="s">
        <v>2905</v>
      </c>
      <c r="G538" s="717" t="s">
        <v>2926</v>
      </c>
      <c r="H538" s="717" t="s">
        <v>2933</v>
      </c>
      <c r="I538" s="720">
        <v>0.62799999713897703</v>
      </c>
      <c r="J538" s="720">
        <v>90000</v>
      </c>
      <c r="K538" s="721">
        <v>56500</v>
      </c>
    </row>
    <row r="539" spans="1:11" ht="14.45" customHeight="1" x14ac:dyDescent="0.2">
      <c r="A539" s="715" t="s">
        <v>518</v>
      </c>
      <c r="B539" s="716" t="s">
        <v>519</v>
      </c>
      <c r="C539" s="717" t="s">
        <v>531</v>
      </c>
      <c r="D539" s="718" t="s">
        <v>532</v>
      </c>
      <c r="E539" s="717" t="s">
        <v>2904</v>
      </c>
      <c r="F539" s="718" t="s">
        <v>2905</v>
      </c>
      <c r="G539" s="717" t="s">
        <v>2928</v>
      </c>
      <c r="H539" s="717" t="s">
        <v>2934</v>
      </c>
      <c r="I539" s="720">
        <v>0.62999999523162842</v>
      </c>
      <c r="J539" s="720">
        <v>54000</v>
      </c>
      <c r="K539" s="721">
        <v>34020</v>
      </c>
    </row>
    <row r="540" spans="1:11" ht="14.45" customHeight="1" x14ac:dyDescent="0.2">
      <c r="A540" s="715" t="s">
        <v>518</v>
      </c>
      <c r="B540" s="716" t="s">
        <v>519</v>
      </c>
      <c r="C540" s="717" t="s">
        <v>531</v>
      </c>
      <c r="D540" s="718" t="s">
        <v>532</v>
      </c>
      <c r="E540" s="717" t="s">
        <v>2904</v>
      </c>
      <c r="F540" s="718" t="s">
        <v>2905</v>
      </c>
      <c r="G540" s="717" t="s">
        <v>2930</v>
      </c>
      <c r="H540" s="717" t="s">
        <v>2935</v>
      </c>
      <c r="I540" s="720">
        <v>0.61999999284744267</v>
      </c>
      <c r="J540" s="720">
        <v>5780</v>
      </c>
      <c r="K540" s="721">
        <v>3633.239990234375</v>
      </c>
    </row>
    <row r="541" spans="1:11" ht="14.45" customHeight="1" x14ac:dyDescent="0.2">
      <c r="A541" s="715" t="s">
        <v>518</v>
      </c>
      <c r="B541" s="716" t="s">
        <v>519</v>
      </c>
      <c r="C541" s="717" t="s">
        <v>531</v>
      </c>
      <c r="D541" s="718" t="s">
        <v>532</v>
      </c>
      <c r="E541" s="717" t="s">
        <v>2936</v>
      </c>
      <c r="F541" s="718" t="s">
        <v>2937</v>
      </c>
      <c r="G541" s="717" t="s">
        <v>2938</v>
      </c>
      <c r="H541" s="717" t="s">
        <v>2939</v>
      </c>
      <c r="I541" s="720">
        <v>319.91000366210938</v>
      </c>
      <c r="J541" s="720">
        <v>80</v>
      </c>
      <c r="K541" s="721">
        <v>25592.9609375</v>
      </c>
    </row>
    <row r="542" spans="1:11" ht="14.45" customHeight="1" x14ac:dyDescent="0.2">
      <c r="A542" s="715" t="s">
        <v>518</v>
      </c>
      <c r="B542" s="716" t="s">
        <v>519</v>
      </c>
      <c r="C542" s="717" t="s">
        <v>531</v>
      </c>
      <c r="D542" s="718" t="s">
        <v>532</v>
      </c>
      <c r="E542" s="717" t="s">
        <v>2936</v>
      </c>
      <c r="F542" s="718" t="s">
        <v>2937</v>
      </c>
      <c r="G542" s="717" t="s">
        <v>2938</v>
      </c>
      <c r="H542" s="717" t="s">
        <v>2940</v>
      </c>
      <c r="I542" s="720">
        <v>319.91000366210938</v>
      </c>
      <c r="J542" s="720">
        <v>80</v>
      </c>
      <c r="K542" s="721">
        <v>25593.0703125</v>
      </c>
    </row>
    <row r="543" spans="1:11" ht="14.45" customHeight="1" x14ac:dyDescent="0.2">
      <c r="A543" s="715" t="s">
        <v>518</v>
      </c>
      <c r="B543" s="716" t="s">
        <v>519</v>
      </c>
      <c r="C543" s="717" t="s">
        <v>531</v>
      </c>
      <c r="D543" s="718" t="s">
        <v>532</v>
      </c>
      <c r="E543" s="717" t="s">
        <v>2936</v>
      </c>
      <c r="F543" s="718" t="s">
        <v>2937</v>
      </c>
      <c r="G543" s="717" t="s">
        <v>2941</v>
      </c>
      <c r="H543" s="717" t="s">
        <v>2942</v>
      </c>
      <c r="I543" s="720">
        <v>442.3900146484375</v>
      </c>
      <c r="J543" s="720">
        <v>20</v>
      </c>
      <c r="K543" s="721">
        <v>8847.759765625</v>
      </c>
    </row>
    <row r="544" spans="1:11" ht="14.45" customHeight="1" x14ac:dyDescent="0.2">
      <c r="A544" s="715" t="s">
        <v>518</v>
      </c>
      <c r="B544" s="716" t="s">
        <v>519</v>
      </c>
      <c r="C544" s="717" t="s">
        <v>531</v>
      </c>
      <c r="D544" s="718" t="s">
        <v>532</v>
      </c>
      <c r="E544" s="717" t="s">
        <v>2936</v>
      </c>
      <c r="F544" s="718" t="s">
        <v>2937</v>
      </c>
      <c r="G544" s="717" t="s">
        <v>2941</v>
      </c>
      <c r="H544" s="717" t="s">
        <v>2943</v>
      </c>
      <c r="I544" s="720">
        <v>442.3900146484375</v>
      </c>
      <c r="J544" s="720">
        <v>20</v>
      </c>
      <c r="K544" s="721">
        <v>8847.759765625</v>
      </c>
    </row>
    <row r="545" spans="1:11" ht="14.45" customHeight="1" x14ac:dyDescent="0.2">
      <c r="A545" s="715" t="s">
        <v>518</v>
      </c>
      <c r="B545" s="716" t="s">
        <v>519</v>
      </c>
      <c r="C545" s="717" t="s">
        <v>531</v>
      </c>
      <c r="D545" s="718" t="s">
        <v>532</v>
      </c>
      <c r="E545" s="717" t="s">
        <v>2936</v>
      </c>
      <c r="F545" s="718" t="s">
        <v>2937</v>
      </c>
      <c r="G545" s="717" t="s">
        <v>2944</v>
      </c>
      <c r="H545" s="717" t="s">
        <v>2945</v>
      </c>
      <c r="I545" s="720">
        <v>568.78997802734375</v>
      </c>
      <c r="J545" s="720">
        <v>60</v>
      </c>
      <c r="K545" s="721">
        <v>34127.1005859375</v>
      </c>
    </row>
    <row r="546" spans="1:11" ht="14.45" customHeight="1" x14ac:dyDescent="0.2">
      <c r="A546" s="715" t="s">
        <v>518</v>
      </c>
      <c r="B546" s="716" t="s">
        <v>519</v>
      </c>
      <c r="C546" s="717" t="s">
        <v>531</v>
      </c>
      <c r="D546" s="718" t="s">
        <v>532</v>
      </c>
      <c r="E546" s="717" t="s">
        <v>2936</v>
      </c>
      <c r="F546" s="718" t="s">
        <v>2937</v>
      </c>
      <c r="G546" s="717" t="s">
        <v>2944</v>
      </c>
      <c r="H546" s="717" t="s">
        <v>2946</v>
      </c>
      <c r="I546" s="720">
        <v>568.78997802734375</v>
      </c>
      <c r="J546" s="720">
        <v>40</v>
      </c>
      <c r="K546" s="721">
        <v>22751.400390625</v>
      </c>
    </row>
    <row r="547" spans="1:11" ht="14.45" customHeight="1" x14ac:dyDescent="0.2">
      <c r="A547" s="715" t="s">
        <v>518</v>
      </c>
      <c r="B547" s="716" t="s">
        <v>519</v>
      </c>
      <c r="C547" s="717" t="s">
        <v>531</v>
      </c>
      <c r="D547" s="718" t="s">
        <v>532</v>
      </c>
      <c r="E547" s="717" t="s">
        <v>2936</v>
      </c>
      <c r="F547" s="718" t="s">
        <v>2937</v>
      </c>
      <c r="G547" s="717" t="s">
        <v>2947</v>
      </c>
      <c r="H547" s="717" t="s">
        <v>2948</v>
      </c>
      <c r="I547" s="720">
        <v>928.20001220703125</v>
      </c>
      <c r="J547" s="720">
        <v>20</v>
      </c>
      <c r="K547" s="721">
        <v>18564.060546875</v>
      </c>
    </row>
    <row r="548" spans="1:11" ht="14.45" customHeight="1" x14ac:dyDescent="0.2">
      <c r="A548" s="715" t="s">
        <v>518</v>
      </c>
      <c r="B548" s="716" t="s">
        <v>519</v>
      </c>
      <c r="C548" s="717" t="s">
        <v>531</v>
      </c>
      <c r="D548" s="718" t="s">
        <v>532</v>
      </c>
      <c r="E548" s="717" t="s">
        <v>2936</v>
      </c>
      <c r="F548" s="718" t="s">
        <v>2937</v>
      </c>
      <c r="G548" s="717" t="s">
        <v>2947</v>
      </c>
      <c r="H548" s="717" t="s">
        <v>2949</v>
      </c>
      <c r="I548" s="720">
        <v>928.20001220703125</v>
      </c>
      <c r="J548" s="720">
        <v>10</v>
      </c>
      <c r="K548" s="721">
        <v>9282.0302734375</v>
      </c>
    </row>
    <row r="549" spans="1:11" ht="14.45" customHeight="1" x14ac:dyDescent="0.2">
      <c r="A549" s="715" t="s">
        <v>518</v>
      </c>
      <c r="B549" s="716" t="s">
        <v>519</v>
      </c>
      <c r="C549" s="717" t="s">
        <v>531</v>
      </c>
      <c r="D549" s="718" t="s">
        <v>532</v>
      </c>
      <c r="E549" s="717" t="s">
        <v>2936</v>
      </c>
      <c r="F549" s="718" t="s">
        <v>2937</v>
      </c>
      <c r="G549" s="717" t="s">
        <v>2950</v>
      </c>
      <c r="H549" s="717" t="s">
        <v>2951</v>
      </c>
      <c r="I549" s="720">
        <v>1094.2099609375</v>
      </c>
      <c r="J549" s="720">
        <v>3</v>
      </c>
      <c r="K549" s="721">
        <v>3282.619873046875</v>
      </c>
    </row>
    <row r="550" spans="1:11" ht="14.45" customHeight="1" x14ac:dyDescent="0.2">
      <c r="A550" s="715" t="s">
        <v>518</v>
      </c>
      <c r="B550" s="716" t="s">
        <v>519</v>
      </c>
      <c r="C550" s="717" t="s">
        <v>531</v>
      </c>
      <c r="D550" s="718" t="s">
        <v>532</v>
      </c>
      <c r="E550" s="717" t="s">
        <v>2936</v>
      </c>
      <c r="F550" s="718" t="s">
        <v>2937</v>
      </c>
      <c r="G550" s="717" t="s">
        <v>2952</v>
      </c>
      <c r="H550" s="717" t="s">
        <v>2953</v>
      </c>
      <c r="I550" s="720">
        <v>1286</v>
      </c>
      <c r="J550" s="720">
        <v>2</v>
      </c>
      <c r="K550" s="721">
        <v>2572</v>
      </c>
    </row>
    <row r="551" spans="1:11" ht="14.45" customHeight="1" x14ac:dyDescent="0.2">
      <c r="A551" s="715" t="s">
        <v>518</v>
      </c>
      <c r="B551" s="716" t="s">
        <v>519</v>
      </c>
      <c r="C551" s="717" t="s">
        <v>531</v>
      </c>
      <c r="D551" s="718" t="s">
        <v>532</v>
      </c>
      <c r="E551" s="717" t="s">
        <v>2954</v>
      </c>
      <c r="F551" s="718" t="s">
        <v>2955</v>
      </c>
      <c r="G551" s="717" t="s">
        <v>2956</v>
      </c>
      <c r="H551" s="717" t="s">
        <v>2957</v>
      </c>
      <c r="I551" s="720">
        <v>15.245999526977538</v>
      </c>
      <c r="J551" s="720">
        <v>210</v>
      </c>
      <c r="K551" s="721">
        <v>3078.300048828125</v>
      </c>
    </row>
    <row r="552" spans="1:11" ht="14.45" customHeight="1" x14ac:dyDescent="0.2">
      <c r="A552" s="715" t="s">
        <v>518</v>
      </c>
      <c r="B552" s="716" t="s">
        <v>519</v>
      </c>
      <c r="C552" s="717" t="s">
        <v>531</v>
      </c>
      <c r="D552" s="718" t="s">
        <v>532</v>
      </c>
      <c r="E552" s="717" t="s">
        <v>2954</v>
      </c>
      <c r="F552" s="718" t="s">
        <v>2955</v>
      </c>
      <c r="G552" s="717" t="s">
        <v>2956</v>
      </c>
      <c r="H552" s="717" t="s">
        <v>2958</v>
      </c>
      <c r="I552" s="720">
        <v>19.36199951171875</v>
      </c>
      <c r="J552" s="720">
        <v>240</v>
      </c>
      <c r="K552" s="721">
        <v>5016.900146484375</v>
      </c>
    </row>
    <row r="553" spans="1:11" ht="14.45" customHeight="1" x14ac:dyDescent="0.2">
      <c r="A553" s="715" t="s">
        <v>518</v>
      </c>
      <c r="B553" s="716" t="s">
        <v>519</v>
      </c>
      <c r="C553" s="717" t="s">
        <v>531</v>
      </c>
      <c r="D553" s="718" t="s">
        <v>532</v>
      </c>
      <c r="E553" s="717" t="s">
        <v>2954</v>
      </c>
      <c r="F553" s="718" t="s">
        <v>2955</v>
      </c>
      <c r="G553" s="717" t="s">
        <v>2959</v>
      </c>
      <c r="H553" s="717" t="s">
        <v>2960</v>
      </c>
      <c r="I553" s="720">
        <v>15.210000038146973</v>
      </c>
      <c r="J553" s="720">
        <v>100</v>
      </c>
      <c r="K553" s="721">
        <v>1520.8199462890625</v>
      </c>
    </row>
    <row r="554" spans="1:11" ht="14.45" customHeight="1" x14ac:dyDescent="0.2">
      <c r="A554" s="715" t="s">
        <v>518</v>
      </c>
      <c r="B554" s="716" t="s">
        <v>519</v>
      </c>
      <c r="C554" s="717" t="s">
        <v>531</v>
      </c>
      <c r="D554" s="718" t="s">
        <v>532</v>
      </c>
      <c r="E554" s="717" t="s">
        <v>2954</v>
      </c>
      <c r="F554" s="718" t="s">
        <v>2955</v>
      </c>
      <c r="G554" s="717" t="s">
        <v>2959</v>
      </c>
      <c r="H554" s="717" t="s">
        <v>2961</v>
      </c>
      <c r="I554" s="720">
        <v>15.210000038146973</v>
      </c>
      <c r="J554" s="720">
        <v>50</v>
      </c>
      <c r="K554" s="721">
        <v>760.40997314453125</v>
      </c>
    </row>
    <row r="555" spans="1:11" ht="14.45" customHeight="1" x14ac:dyDescent="0.2">
      <c r="A555" s="715" t="s">
        <v>518</v>
      </c>
      <c r="B555" s="716" t="s">
        <v>519</v>
      </c>
      <c r="C555" s="717" t="s">
        <v>531</v>
      </c>
      <c r="D555" s="718" t="s">
        <v>532</v>
      </c>
      <c r="E555" s="717" t="s">
        <v>2954</v>
      </c>
      <c r="F555" s="718" t="s">
        <v>2955</v>
      </c>
      <c r="G555" s="717" t="s">
        <v>2962</v>
      </c>
      <c r="H555" s="717" t="s">
        <v>2963</v>
      </c>
      <c r="I555" s="720">
        <v>36.860000610351563</v>
      </c>
      <c r="J555" s="720">
        <v>5</v>
      </c>
      <c r="K555" s="721">
        <v>184.27999877929688</v>
      </c>
    </row>
    <row r="556" spans="1:11" ht="14.45" customHeight="1" x14ac:dyDescent="0.2">
      <c r="A556" s="715" t="s">
        <v>518</v>
      </c>
      <c r="B556" s="716" t="s">
        <v>519</v>
      </c>
      <c r="C556" s="717" t="s">
        <v>531</v>
      </c>
      <c r="D556" s="718" t="s">
        <v>532</v>
      </c>
      <c r="E556" s="717" t="s">
        <v>2954</v>
      </c>
      <c r="F556" s="718" t="s">
        <v>2955</v>
      </c>
      <c r="G556" s="717" t="s">
        <v>2964</v>
      </c>
      <c r="H556" s="717" t="s">
        <v>2965</v>
      </c>
      <c r="I556" s="720">
        <v>36.830001831054688</v>
      </c>
      <c r="J556" s="720">
        <v>5</v>
      </c>
      <c r="K556" s="721">
        <v>184.16000366210938</v>
      </c>
    </row>
    <row r="557" spans="1:11" ht="14.45" customHeight="1" x14ac:dyDescent="0.2">
      <c r="A557" s="715" t="s">
        <v>518</v>
      </c>
      <c r="B557" s="716" t="s">
        <v>519</v>
      </c>
      <c r="C557" s="717" t="s">
        <v>531</v>
      </c>
      <c r="D557" s="718" t="s">
        <v>532</v>
      </c>
      <c r="E557" s="717" t="s">
        <v>2954</v>
      </c>
      <c r="F557" s="718" t="s">
        <v>2955</v>
      </c>
      <c r="G557" s="717" t="s">
        <v>2966</v>
      </c>
      <c r="H557" s="717" t="s">
        <v>2967</v>
      </c>
      <c r="I557" s="720">
        <v>36.830001831054688</v>
      </c>
      <c r="J557" s="720">
        <v>5</v>
      </c>
      <c r="K557" s="721">
        <v>184.16000366210938</v>
      </c>
    </row>
    <row r="558" spans="1:11" ht="14.45" customHeight="1" x14ac:dyDescent="0.2">
      <c r="A558" s="715" t="s">
        <v>518</v>
      </c>
      <c r="B558" s="716" t="s">
        <v>519</v>
      </c>
      <c r="C558" s="717" t="s">
        <v>531</v>
      </c>
      <c r="D558" s="718" t="s">
        <v>532</v>
      </c>
      <c r="E558" s="717" t="s">
        <v>2954</v>
      </c>
      <c r="F558" s="718" t="s">
        <v>2955</v>
      </c>
      <c r="G558" s="717" t="s">
        <v>2962</v>
      </c>
      <c r="H558" s="717" t="s">
        <v>2968</v>
      </c>
      <c r="I558" s="720">
        <v>35.090000152587891</v>
      </c>
      <c r="J558" s="720">
        <v>28</v>
      </c>
      <c r="K558" s="721">
        <v>982.51998138427734</v>
      </c>
    </row>
    <row r="559" spans="1:11" ht="14.45" customHeight="1" x14ac:dyDescent="0.2">
      <c r="A559" s="715" t="s">
        <v>518</v>
      </c>
      <c r="B559" s="716" t="s">
        <v>519</v>
      </c>
      <c r="C559" s="717" t="s">
        <v>531</v>
      </c>
      <c r="D559" s="718" t="s">
        <v>532</v>
      </c>
      <c r="E559" s="717" t="s">
        <v>2954</v>
      </c>
      <c r="F559" s="718" t="s">
        <v>2955</v>
      </c>
      <c r="G559" s="717" t="s">
        <v>2964</v>
      </c>
      <c r="H559" s="717" t="s">
        <v>2969</v>
      </c>
      <c r="I559" s="720">
        <v>36.833334604899086</v>
      </c>
      <c r="J559" s="720">
        <v>28</v>
      </c>
      <c r="K559" s="721">
        <v>1031.3500137329102</v>
      </c>
    </row>
    <row r="560" spans="1:11" ht="14.45" customHeight="1" x14ac:dyDescent="0.2">
      <c r="A560" s="715" t="s">
        <v>518</v>
      </c>
      <c r="B560" s="716" t="s">
        <v>519</v>
      </c>
      <c r="C560" s="717" t="s">
        <v>531</v>
      </c>
      <c r="D560" s="718" t="s">
        <v>532</v>
      </c>
      <c r="E560" s="717" t="s">
        <v>2954</v>
      </c>
      <c r="F560" s="718" t="s">
        <v>2955</v>
      </c>
      <c r="G560" s="717" t="s">
        <v>2966</v>
      </c>
      <c r="H560" s="717" t="s">
        <v>2970</v>
      </c>
      <c r="I560" s="720">
        <v>35.670000712076821</v>
      </c>
      <c r="J560" s="720">
        <v>28</v>
      </c>
      <c r="K560" s="721">
        <v>987.74998474121094</v>
      </c>
    </row>
    <row r="561" spans="1:11" ht="14.45" customHeight="1" x14ac:dyDescent="0.2">
      <c r="A561" s="715" t="s">
        <v>518</v>
      </c>
      <c r="B561" s="716" t="s">
        <v>519</v>
      </c>
      <c r="C561" s="717" t="s">
        <v>531</v>
      </c>
      <c r="D561" s="718" t="s">
        <v>532</v>
      </c>
      <c r="E561" s="717" t="s">
        <v>2954</v>
      </c>
      <c r="F561" s="718" t="s">
        <v>2955</v>
      </c>
      <c r="G561" s="717" t="s">
        <v>2971</v>
      </c>
      <c r="H561" s="717" t="s">
        <v>2972</v>
      </c>
      <c r="I561" s="720">
        <v>19.966249227523804</v>
      </c>
      <c r="J561" s="720">
        <v>730</v>
      </c>
      <c r="K561" s="721">
        <v>14574.599975585938</v>
      </c>
    </row>
    <row r="562" spans="1:11" ht="14.45" customHeight="1" x14ac:dyDescent="0.2">
      <c r="A562" s="715" t="s">
        <v>518</v>
      </c>
      <c r="B562" s="716" t="s">
        <v>519</v>
      </c>
      <c r="C562" s="717" t="s">
        <v>531</v>
      </c>
      <c r="D562" s="718" t="s">
        <v>532</v>
      </c>
      <c r="E562" s="717" t="s">
        <v>2954</v>
      </c>
      <c r="F562" s="718" t="s">
        <v>2955</v>
      </c>
      <c r="G562" s="717" t="s">
        <v>2971</v>
      </c>
      <c r="H562" s="717" t="s">
        <v>2973</v>
      </c>
      <c r="I562" s="720">
        <v>19.964284896850586</v>
      </c>
      <c r="J562" s="720">
        <v>540</v>
      </c>
      <c r="K562" s="721">
        <v>10781.25</v>
      </c>
    </row>
    <row r="563" spans="1:11" ht="14.45" customHeight="1" x14ac:dyDescent="0.2">
      <c r="A563" s="715" t="s">
        <v>518</v>
      </c>
      <c r="B563" s="716" t="s">
        <v>519</v>
      </c>
      <c r="C563" s="717" t="s">
        <v>531</v>
      </c>
      <c r="D563" s="718" t="s">
        <v>532</v>
      </c>
      <c r="E563" s="717" t="s">
        <v>2954</v>
      </c>
      <c r="F563" s="718" t="s">
        <v>2955</v>
      </c>
      <c r="G563" s="717" t="s">
        <v>2974</v>
      </c>
      <c r="H563" s="717" t="s">
        <v>2975</v>
      </c>
      <c r="I563" s="720">
        <v>154.8800048828125</v>
      </c>
      <c r="J563" s="720">
        <v>40</v>
      </c>
      <c r="K563" s="721">
        <v>6195.2001953125</v>
      </c>
    </row>
    <row r="564" spans="1:11" ht="14.45" customHeight="1" x14ac:dyDescent="0.2">
      <c r="A564" s="715" t="s">
        <v>518</v>
      </c>
      <c r="B564" s="716" t="s">
        <v>519</v>
      </c>
      <c r="C564" s="717" t="s">
        <v>531</v>
      </c>
      <c r="D564" s="718" t="s">
        <v>532</v>
      </c>
      <c r="E564" s="717" t="s">
        <v>2954</v>
      </c>
      <c r="F564" s="718" t="s">
        <v>2955</v>
      </c>
      <c r="G564" s="717" t="s">
        <v>2974</v>
      </c>
      <c r="H564" s="717" t="s">
        <v>2976</v>
      </c>
      <c r="I564" s="720">
        <v>154.8800048828125</v>
      </c>
      <c r="J564" s="720">
        <v>120</v>
      </c>
      <c r="K564" s="721">
        <v>18585.599609375</v>
      </c>
    </row>
    <row r="565" spans="1:11" ht="14.45" customHeight="1" x14ac:dyDescent="0.2">
      <c r="A565" s="715" t="s">
        <v>518</v>
      </c>
      <c r="B565" s="716" t="s">
        <v>519</v>
      </c>
      <c r="C565" s="717" t="s">
        <v>531</v>
      </c>
      <c r="D565" s="718" t="s">
        <v>532</v>
      </c>
      <c r="E565" s="717" t="s">
        <v>2954</v>
      </c>
      <c r="F565" s="718" t="s">
        <v>2955</v>
      </c>
      <c r="G565" s="717" t="s">
        <v>2977</v>
      </c>
      <c r="H565" s="717" t="s">
        <v>2978</v>
      </c>
      <c r="I565" s="720">
        <v>21.719999313354492</v>
      </c>
      <c r="J565" s="720">
        <v>60</v>
      </c>
      <c r="K565" s="721">
        <v>1303.4200439453125</v>
      </c>
    </row>
    <row r="566" spans="1:11" ht="14.45" customHeight="1" x14ac:dyDescent="0.2">
      <c r="A566" s="715" t="s">
        <v>518</v>
      </c>
      <c r="B566" s="716" t="s">
        <v>519</v>
      </c>
      <c r="C566" s="717" t="s">
        <v>531</v>
      </c>
      <c r="D566" s="718" t="s">
        <v>532</v>
      </c>
      <c r="E566" s="717" t="s">
        <v>2954</v>
      </c>
      <c r="F566" s="718" t="s">
        <v>2955</v>
      </c>
      <c r="G566" s="717" t="s">
        <v>2977</v>
      </c>
      <c r="H566" s="717" t="s">
        <v>2979</v>
      </c>
      <c r="I566" s="720">
        <v>21.72499942779541</v>
      </c>
      <c r="J566" s="720">
        <v>60</v>
      </c>
      <c r="K566" s="721">
        <v>1303.52001953125</v>
      </c>
    </row>
    <row r="567" spans="1:11" ht="14.45" customHeight="1" x14ac:dyDescent="0.2">
      <c r="A567" s="715" t="s">
        <v>518</v>
      </c>
      <c r="B567" s="716" t="s">
        <v>519</v>
      </c>
      <c r="C567" s="717" t="s">
        <v>531</v>
      </c>
      <c r="D567" s="718" t="s">
        <v>532</v>
      </c>
      <c r="E567" s="717" t="s">
        <v>2954</v>
      </c>
      <c r="F567" s="718" t="s">
        <v>2955</v>
      </c>
      <c r="G567" s="717" t="s">
        <v>2980</v>
      </c>
      <c r="H567" s="717" t="s">
        <v>2981</v>
      </c>
      <c r="I567" s="720">
        <v>50.599998474121094</v>
      </c>
      <c r="J567" s="720">
        <v>400</v>
      </c>
      <c r="K567" s="721">
        <v>20240.880859375</v>
      </c>
    </row>
    <row r="568" spans="1:11" ht="14.45" customHeight="1" x14ac:dyDescent="0.2">
      <c r="A568" s="715" t="s">
        <v>518</v>
      </c>
      <c r="B568" s="716" t="s">
        <v>519</v>
      </c>
      <c r="C568" s="717" t="s">
        <v>531</v>
      </c>
      <c r="D568" s="718" t="s">
        <v>532</v>
      </c>
      <c r="E568" s="717" t="s">
        <v>2954</v>
      </c>
      <c r="F568" s="718" t="s">
        <v>2955</v>
      </c>
      <c r="G568" s="717" t="s">
        <v>2982</v>
      </c>
      <c r="H568" s="717" t="s">
        <v>2983</v>
      </c>
      <c r="I568" s="720">
        <v>1045.43994140625</v>
      </c>
      <c r="J568" s="720">
        <v>5</v>
      </c>
      <c r="K568" s="721">
        <v>5227.2001953125</v>
      </c>
    </row>
    <row r="569" spans="1:11" ht="14.45" customHeight="1" x14ac:dyDescent="0.2">
      <c r="A569" s="715" t="s">
        <v>518</v>
      </c>
      <c r="B569" s="716" t="s">
        <v>519</v>
      </c>
      <c r="C569" s="717" t="s">
        <v>531</v>
      </c>
      <c r="D569" s="718" t="s">
        <v>532</v>
      </c>
      <c r="E569" s="717" t="s">
        <v>2954</v>
      </c>
      <c r="F569" s="718" t="s">
        <v>2955</v>
      </c>
      <c r="G569" s="717" t="s">
        <v>2982</v>
      </c>
      <c r="H569" s="717" t="s">
        <v>2984</v>
      </c>
      <c r="I569" s="720">
        <v>1045.43994140625</v>
      </c>
      <c r="J569" s="720">
        <v>5</v>
      </c>
      <c r="K569" s="721">
        <v>5227.2001953125</v>
      </c>
    </row>
    <row r="570" spans="1:11" ht="14.45" customHeight="1" x14ac:dyDescent="0.2">
      <c r="A570" s="715" t="s">
        <v>518</v>
      </c>
      <c r="B570" s="716" t="s">
        <v>519</v>
      </c>
      <c r="C570" s="717" t="s">
        <v>531</v>
      </c>
      <c r="D570" s="718" t="s">
        <v>532</v>
      </c>
      <c r="E570" s="717" t="s">
        <v>2954</v>
      </c>
      <c r="F570" s="718" t="s">
        <v>2955</v>
      </c>
      <c r="G570" s="717" t="s">
        <v>2985</v>
      </c>
      <c r="H570" s="717" t="s">
        <v>2986</v>
      </c>
      <c r="I570" s="720">
        <v>2395.800048828125</v>
      </c>
      <c r="J570" s="720">
        <v>6</v>
      </c>
      <c r="K570" s="721">
        <v>14374.80029296875</v>
      </c>
    </row>
    <row r="571" spans="1:11" ht="14.45" customHeight="1" x14ac:dyDescent="0.2">
      <c r="A571" s="715" t="s">
        <v>518</v>
      </c>
      <c r="B571" s="716" t="s">
        <v>519</v>
      </c>
      <c r="C571" s="717" t="s">
        <v>531</v>
      </c>
      <c r="D571" s="718" t="s">
        <v>532</v>
      </c>
      <c r="E571" s="717" t="s">
        <v>2954</v>
      </c>
      <c r="F571" s="718" t="s">
        <v>2955</v>
      </c>
      <c r="G571" s="717" t="s">
        <v>2980</v>
      </c>
      <c r="H571" s="717" t="s">
        <v>2987</v>
      </c>
      <c r="I571" s="720">
        <v>50.599998474121094</v>
      </c>
      <c r="J571" s="720">
        <v>250</v>
      </c>
      <c r="K571" s="721">
        <v>12650.550537109375</v>
      </c>
    </row>
    <row r="572" spans="1:11" ht="14.45" customHeight="1" x14ac:dyDescent="0.2">
      <c r="A572" s="715" t="s">
        <v>518</v>
      </c>
      <c r="B572" s="716" t="s">
        <v>519</v>
      </c>
      <c r="C572" s="717" t="s">
        <v>531</v>
      </c>
      <c r="D572" s="718" t="s">
        <v>532</v>
      </c>
      <c r="E572" s="717" t="s">
        <v>2954</v>
      </c>
      <c r="F572" s="718" t="s">
        <v>2955</v>
      </c>
      <c r="G572" s="717" t="s">
        <v>2982</v>
      </c>
      <c r="H572" s="717" t="s">
        <v>2988</v>
      </c>
      <c r="I572" s="720">
        <v>1045.43994140625</v>
      </c>
      <c r="J572" s="720">
        <v>5</v>
      </c>
      <c r="K572" s="721">
        <v>5227.2001953125</v>
      </c>
    </row>
    <row r="573" spans="1:11" ht="14.45" customHeight="1" x14ac:dyDescent="0.2">
      <c r="A573" s="715" t="s">
        <v>518</v>
      </c>
      <c r="B573" s="716" t="s">
        <v>519</v>
      </c>
      <c r="C573" s="717" t="s">
        <v>531</v>
      </c>
      <c r="D573" s="718" t="s">
        <v>532</v>
      </c>
      <c r="E573" s="717" t="s">
        <v>2954</v>
      </c>
      <c r="F573" s="718" t="s">
        <v>2955</v>
      </c>
      <c r="G573" s="717" t="s">
        <v>2989</v>
      </c>
      <c r="H573" s="717" t="s">
        <v>2990</v>
      </c>
      <c r="I573" s="720">
        <v>273.45999145507813</v>
      </c>
      <c r="J573" s="720">
        <v>40</v>
      </c>
      <c r="K573" s="721">
        <v>10938.400390625</v>
      </c>
    </row>
    <row r="574" spans="1:11" ht="14.45" customHeight="1" x14ac:dyDescent="0.2">
      <c r="A574" s="715" t="s">
        <v>518</v>
      </c>
      <c r="B574" s="716" t="s">
        <v>519</v>
      </c>
      <c r="C574" s="717" t="s">
        <v>531</v>
      </c>
      <c r="D574" s="718" t="s">
        <v>532</v>
      </c>
      <c r="E574" s="717" t="s">
        <v>2954</v>
      </c>
      <c r="F574" s="718" t="s">
        <v>2955</v>
      </c>
      <c r="G574" s="717" t="s">
        <v>2989</v>
      </c>
      <c r="H574" s="717" t="s">
        <v>2991</v>
      </c>
      <c r="I574" s="720">
        <v>273.45999145507813</v>
      </c>
      <c r="J574" s="720">
        <v>20</v>
      </c>
      <c r="K574" s="721">
        <v>5469.2001953125</v>
      </c>
    </row>
    <row r="575" spans="1:11" ht="14.45" customHeight="1" x14ac:dyDescent="0.2">
      <c r="A575" s="715" t="s">
        <v>518</v>
      </c>
      <c r="B575" s="716" t="s">
        <v>519</v>
      </c>
      <c r="C575" s="717" t="s">
        <v>531</v>
      </c>
      <c r="D575" s="718" t="s">
        <v>532</v>
      </c>
      <c r="E575" s="717" t="s">
        <v>2954</v>
      </c>
      <c r="F575" s="718" t="s">
        <v>2955</v>
      </c>
      <c r="G575" s="717" t="s">
        <v>2992</v>
      </c>
      <c r="H575" s="717" t="s">
        <v>2993</v>
      </c>
      <c r="I575" s="720">
        <v>511.82998657226563</v>
      </c>
      <c r="J575" s="720">
        <v>90</v>
      </c>
      <c r="K575" s="721">
        <v>46064.6982421875</v>
      </c>
    </row>
    <row r="576" spans="1:11" ht="14.45" customHeight="1" x14ac:dyDescent="0.2">
      <c r="A576" s="715" t="s">
        <v>518</v>
      </c>
      <c r="B576" s="716" t="s">
        <v>519</v>
      </c>
      <c r="C576" s="717" t="s">
        <v>531</v>
      </c>
      <c r="D576" s="718" t="s">
        <v>532</v>
      </c>
      <c r="E576" s="717" t="s">
        <v>2954</v>
      </c>
      <c r="F576" s="718" t="s">
        <v>2955</v>
      </c>
      <c r="G576" s="717" t="s">
        <v>2989</v>
      </c>
      <c r="H576" s="717" t="s">
        <v>2994</v>
      </c>
      <c r="I576" s="720">
        <v>273.45999145507813</v>
      </c>
      <c r="J576" s="720">
        <v>90</v>
      </c>
      <c r="K576" s="721">
        <v>24611.40087890625</v>
      </c>
    </row>
    <row r="577" spans="1:11" ht="14.45" customHeight="1" thickBot="1" x14ac:dyDescent="0.25">
      <c r="A577" s="722" t="s">
        <v>518</v>
      </c>
      <c r="B577" s="723" t="s">
        <v>519</v>
      </c>
      <c r="C577" s="724" t="s">
        <v>531</v>
      </c>
      <c r="D577" s="725" t="s">
        <v>532</v>
      </c>
      <c r="E577" s="724" t="s">
        <v>2954</v>
      </c>
      <c r="F577" s="725" t="s">
        <v>2955</v>
      </c>
      <c r="G577" s="724" t="s">
        <v>2992</v>
      </c>
      <c r="H577" s="724" t="s">
        <v>2995</v>
      </c>
      <c r="I577" s="727">
        <v>511.82998657226563</v>
      </c>
      <c r="J577" s="727">
        <v>100</v>
      </c>
      <c r="K577" s="728">
        <v>51182.998046875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BBDBF557-075C-467E-B241-F026FB2FA136}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440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350" customWidth="1"/>
    <col min="18" max="18" width="7.28515625" style="439" customWidth="1"/>
    <col min="19" max="19" width="8" style="350" customWidth="1"/>
    <col min="21" max="21" width="11.28515625" bestFit="1" customWidth="1"/>
  </cols>
  <sheetData>
    <row r="1" spans="1:19" ht="19.5" thickBot="1" x14ac:dyDescent="0.35">
      <c r="A1" s="563" t="s">
        <v>116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524"/>
      <c r="P1" s="524"/>
      <c r="Q1" s="524"/>
      <c r="R1" s="524"/>
      <c r="S1" s="524"/>
    </row>
    <row r="2" spans="1:19" ht="15.75" thickBot="1" x14ac:dyDescent="0.3">
      <c r="A2" s="666" t="s">
        <v>305</v>
      </c>
      <c r="B2" s="352"/>
    </row>
    <row r="3" spans="1:19" x14ac:dyDescent="0.25">
      <c r="A3" s="575" t="s">
        <v>212</v>
      </c>
      <c r="B3" s="576"/>
      <c r="C3" s="577" t="s">
        <v>201</v>
      </c>
      <c r="D3" s="578"/>
      <c r="E3" s="578"/>
      <c r="F3" s="579"/>
      <c r="G3" s="580" t="s">
        <v>202</v>
      </c>
      <c r="H3" s="581"/>
      <c r="I3" s="581"/>
      <c r="J3" s="582"/>
      <c r="K3" s="583" t="s">
        <v>211</v>
      </c>
      <c r="L3" s="584"/>
      <c r="M3" s="584"/>
      <c r="N3" s="584"/>
      <c r="O3" s="585"/>
      <c r="P3" s="581" t="s">
        <v>276</v>
      </c>
      <c r="Q3" s="581"/>
      <c r="R3" s="581"/>
      <c r="S3" s="582"/>
    </row>
    <row r="4" spans="1:19" ht="15.75" thickBot="1" x14ac:dyDescent="0.3">
      <c r="A4" s="555">
        <v>2019</v>
      </c>
      <c r="B4" s="556"/>
      <c r="C4" s="557" t="s">
        <v>275</v>
      </c>
      <c r="D4" s="559" t="s">
        <v>117</v>
      </c>
      <c r="E4" s="559" t="s">
        <v>82</v>
      </c>
      <c r="F4" s="561" t="s">
        <v>55</v>
      </c>
      <c r="G4" s="549" t="s">
        <v>203</v>
      </c>
      <c r="H4" s="551" t="s">
        <v>207</v>
      </c>
      <c r="I4" s="551" t="s">
        <v>274</v>
      </c>
      <c r="J4" s="553" t="s">
        <v>204</v>
      </c>
      <c r="K4" s="572" t="s">
        <v>273</v>
      </c>
      <c r="L4" s="573"/>
      <c r="M4" s="573"/>
      <c r="N4" s="574"/>
      <c r="O4" s="561" t="s">
        <v>272</v>
      </c>
      <c r="P4" s="564" t="s">
        <v>271</v>
      </c>
      <c r="Q4" s="564" t="s">
        <v>214</v>
      </c>
      <c r="R4" s="566" t="s">
        <v>82</v>
      </c>
      <c r="S4" s="568" t="s">
        <v>213</v>
      </c>
    </row>
    <row r="5" spans="1:19" s="474" customFormat="1" ht="19.149999999999999" customHeight="1" x14ac:dyDescent="0.25">
      <c r="A5" s="570" t="s">
        <v>270</v>
      </c>
      <c r="B5" s="571"/>
      <c r="C5" s="558"/>
      <c r="D5" s="560"/>
      <c r="E5" s="560"/>
      <c r="F5" s="562"/>
      <c r="G5" s="550"/>
      <c r="H5" s="552"/>
      <c r="I5" s="552"/>
      <c r="J5" s="554"/>
      <c r="K5" s="477" t="s">
        <v>205</v>
      </c>
      <c r="L5" s="476" t="s">
        <v>206</v>
      </c>
      <c r="M5" s="476" t="s">
        <v>269</v>
      </c>
      <c r="N5" s="475" t="s">
        <v>3</v>
      </c>
      <c r="O5" s="562"/>
      <c r="P5" s="565"/>
      <c r="Q5" s="565"/>
      <c r="R5" s="567"/>
      <c r="S5" s="569"/>
    </row>
    <row r="6" spans="1:19" ht="15.75" thickBot="1" x14ac:dyDescent="0.3">
      <c r="A6" s="547" t="s">
        <v>200</v>
      </c>
      <c r="B6" s="548"/>
      <c r="C6" s="473">
        <f ca="1">SUM(Tabulka[01 uv_sk])/2</f>
        <v>62.462499999999999</v>
      </c>
      <c r="D6" s="471"/>
      <c r="E6" s="471"/>
      <c r="F6" s="470"/>
      <c r="G6" s="472">
        <f ca="1">SUM(Tabulka[05 h_vram])/2</f>
        <v>104537.22</v>
      </c>
      <c r="H6" s="471">
        <f ca="1">SUM(Tabulka[06 h_naduv])/2</f>
        <v>7254.4500000000007</v>
      </c>
      <c r="I6" s="471">
        <f ca="1">SUM(Tabulka[07 h_nadzk])/2</f>
        <v>1309.1300000000001</v>
      </c>
      <c r="J6" s="470">
        <f ca="1">SUM(Tabulka[08 h_oon])/2</f>
        <v>0</v>
      </c>
      <c r="K6" s="472">
        <f ca="1">SUM(Tabulka[09 m_kl])/2</f>
        <v>0</v>
      </c>
      <c r="L6" s="471">
        <f ca="1">SUM(Tabulka[10 m_gr])/2</f>
        <v>0</v>
      </c>
      <c r="M6" s="471">
        <f ca="1">SUM(Tabulka[11 m_jo])/2</f>
        <v>2159836</v>
      </c>
      <c r="N6" s="471">
        <f ca="1">SUM(Tabulka[12 m_oc])/2</f>
        <v>2159836</v>
      </c>
      <c r="O6" s="470">
        <f ca="1">SUM(Tabulka[13 m_sk])/2</f>
        <v>45260133</v>
      </c>
      <c r="P6" s="469">
        <f ca="1">SUM(Tabulka[14_vzsk])/2</f>
        <v>31000</v>
      </c>
      <c r="Q6" s="469">
        <f ca="1">SUM(Tabulka[15_vzpl])/2</f>
        <v>55601.173020527858</v>
      </c>
      <c r="R6" s="468">
        <f ca="1">IF(Q6=0,0,P6/Q6)</f>
        <v>0.55754219409282701</v>
      </c>
      <c r="S6" s="467">
        <f ca="1">Q6-P6</f>
        <v>24601.173020527858</v>
      </c>
    </row>
    <row r="7" spans="1:19" hidden="1" x14ac:dyDescent="0.25">
      <c r="A7" s="466" t="s">
        <v>268</v>
      </c>
      <c r="B7" s="465" t="s">
        <v>267</v>
      </c>
      <c r="C7" s="464" t="s">
        <v>266</v>
      </c>
      <c r="D7" s="463" t="s">
        <v>265</v>
      </c>
      <c r="E7" s="462" t="s">
        <v>264</v>
      </c>
      <c r="F7" s="461" t="s">
        <v>263</v>
      </c>
      <c r="G7" s="460" t="s">
        <v>262</v>
      </c>
      <c r="H7" s="458" t="s">
        <v>261</v>
      </c>
      <c r="I7" s="458" t="s">
        <v>260</v>
      </c>
      <c r="J7" s="457" t="s">
        <v>259</v>
      </c>
      <c r="K7" s="459" t="s">
        <v>258</v>
      </c>
      <c r="L7" s="458" t="s">
        <v>257</v>
      </c>
      <c r="M7" s="458" t="s">
        <v>256</v>
      </c>
      <c r="N7" s="457" t="s">
        <v>255</v>
      </c>
      <c r="O7" s="456" t="s">
        <v>254</v>
      </c>
      <c r="P7" s="455" t="s">
        <v>253</v>
      </c>
      <c r="Q7" s="454" t="s">
        <v>252</v>
      </c>
      <c r="R7" s="453" t="s">
        <v>251</v>
      </c>
      <c r="S7" s="452" t="s">
        <v>250</v>
      </c>
    </row>
    <row r="8" spans="1:19" x14ac:dyDescent="0.25">
      <c r="A8" s="449" t="s">
        <v>249</v>
      </c>
      <c r="B8" s="448"/>
      <c r="C8" s="4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9.0458333333333325</v>
      </c>
      <c r="D8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15939.8</v>
      </c>
      <c r="H8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1164.5</v>
      </c>
      <c r="I8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103.08</v>
      </c>
      <c r="J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751113</v>
      </c>
      <c r="N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751113</v>
      </c>
      <c r="O8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10732738</v>
      </c>
      <c r="P8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25601.173020527855</v>
      </c>
      <c r="R8" s="451">
        <f ca="1">IF(Tabulka[[#This Row],[15_vzpl]]=0,"",Tabulka[[#This Row],[14_vzsk]]/Tabulka[[#This Row],[15_vzpl]])</f>
        <v>0</v>
      </c>
      <c r="S8" s="450">
        <f ca="1">IF(Tabulka[[#This Row],[15_vzpl]]-Tabulka[[#This Row],[14_vzsk]]=0,"",Tabulka[[#This Row],[15_vzpl]]-Tabulka[[#This Row],[14_vzsk]])</f>
        <v>25601.173020527855</v>
      </c>
    </row>
    <row r="9" spans="1:19" x14ac:dyDescent="0.25">
      <c r="A9" s="449">
        <v>99</v>
      </c>
      <c r="B9" s="448" t="s">
        <v>3012</v>
      </c>
      <c r="C9" s="4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25601.173020527855</v>
      </c>
      <c r="R9" s="451">
        <f ca="1">IF(Tabulka[[#This Row],[15_vzpl]]=0,"",Tabulka[[#This Row],[14_vzsk]]/Tabulka[[#This Row],[15_vzpl]])</f>
        <v>0</v>
      </c>
      <c r="S9" s="450">
        <f ca="1">IF(Tabulka[[#This Row],[15_vzpl]]-Tabulka[[#This Row],[14_vzsk]]=0,"",Tabulka[[#This Row],[15_vzpl]]-Tabulka[[#This Row],[14_vzsk]])</f>
        <v>25601.173020527855</v>
      </c>
    </row>
    <row r="10" spans="1:19" x14ac:dyDescent="0.25">
      <c r="A10" s="449">
        <v>101</v>
      </c>
      <c r="B10" s="448" t="s">
        <v>3013</v>
      </c>
      <c r="C10" s="4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9.0458333333333325</v>
      </c>
      <c r="D10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15939.8</v>
      </c>
      <c r="H10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1164.5</v>
      </c>
      <c r="I10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103.08</v>
      </c>
      <c r="J10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751113</v>
      </c>
      <c r="N10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751113</v>
      </c>
      <c r="O10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10732738</v>
      </c>
      <c r="P10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51" t="str">
        <f ca="1">IF(Tabulka[[#This Row],[15_vzpl]]=0,"",Tabulka[[#This Row],[14_vzsk]]/Tabulka[[#This Row],[15_vzpl]])</f>
        <v/>
      </c>
      <c r="S10" s="450" t="str">
        <f ca="1">IF(Tabulka[[#This Row],[15_vzpl]]-Tabulka[[#This Row],[14_vzsk]]=0,"",Tabulka[[#This Row],[15_vzpl]]-Tabulka[[#This Row],[14_vzsk]])</f>
        <v/>
      </c>
    </row>
    <row r="11" spans="1:19" x14ac:dyDescent="0.25">
      <c r="A11" s="449" t="s">
        <v>2997</v>
      </c>
      <c r="B11" s="448"/>
      <c r="C11" s="4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52.416666666666664</v>
      </c>
      <c r="D11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86685.420000000013</v>
      </c>
      <c r="H11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6089.95</v>
      </c>
      <c r="I11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1206.0500000000002</v>
      </c>
      <c r="J11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1391155</v>
      </c>
      <c r="N11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1391155</v>
      </c>
      <c r="O11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34122848</v>
      </c>
      <c r="P11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31000</v>
      </c>
      <c r="Q11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30000</v>
      </c>
      <c r="R11" s="451">
        <f ca="1">IF(Tabulka[[#This Row],[15_vzpl]]=0,"",Tabulka[[#This Row],[14_vzsk]]/Tabulka[[#This Row],[15_vzpl]])</f>
        <v>1.0333333333333334</v>
      </c>
      <c r="S11" s="450">
        <f ca="1">IF(Tabulka[[#This Row],[15_vzpl]]-Tabulka[[#This Row],[14_vzsk]]=0,"",Tabulka[[#This Row],[15_vzpl]]-Tabulka[[#This Row],[14_vzsk]])</f>
        <v>-1000</v>
      </c>
    </row>
    <row r="12" spans="1:19" x14ac:dyDescent="0.25">
      <c r="A12" s="449">
        <v>303</v>
      </c>
      <c r="B12" s="448" t="s">
        <v>3014</v>
      </c>
      <c r="C12" s="4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</v>
      </c>
      <c r="D12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15615.269999999999</v>
      </c>
      <c r="H12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952</v>
      </c>
      <c r="I12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246.2</v>
      </c>
      <c r="J12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185835</v>
      </c>
      <c r="N12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185835</v>
      </c>
      <c r="O12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4985218</v>
      </c>
      <c r="P12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31000</v>
      </c>
      <c r="Q12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30000</v>
      </c>
      <c r="R12" s="451">
        <f ca="1">IF(Tabulka[[#This Row],[15_vzpl]]=0,"",Tabulka[[#This Row],[14_vzsk]]/Tabulka[[#This Row],[15_vzpl]])</f>
        <v>1.0333333333333334</v>
      </c>
      <c r="S12" s="450">
        <f ca="1">IF(Tabulka[[#This Row],[15_vzpl]]-Tabulka[[#This Row],[14_vzsk]]=0,"",Tabulka[[#This Row],[15_vzpl]]-Tabulka[[#This Row],[14_vzsk]])</f>
        <v>-1000</v>
      </c>
    </row>
    <row r="13" spans="1:19" x14ac:dyDescent="0.25">
      <c r="A13" s="449">
        <v>304</v>
      </c>
      <c r="B13" s="448" t="s">
        <v>3015</v>
      </c>
      <c r="C13" s="4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25.25</v>
      </c>
      <c r="D13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40568.030000000006</v>
      </c>
      <c r="H13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2666.5</v>
      </c>
      <c r="I13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696.40000000000009</v>
      </c>
      <c r="J13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692863</v>
      </c>
      <c r="N13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692863</v>
      </c>
      <c r="O13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17275751</v>
      </c>
      <c r="P13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451" t="str">
        <f ca="1">IF(Tabulka[[#This Row],[15_vzpl]]=0,"",Tabulka[[#This Row],[14_vzsk]]/Tabulka[[#This Row],[15_vzpl]])</f>
        <v/>
      </c>
      <c r="S13" s="450" t="str">
        <f ca="1">IF(Tabulka[[#This Row],[15_vzpl]]-Tabulka[[#This Row],[14_vzsk]]=0,"",Tabulka[[#This Row],[15_vzpl]]-Tabulka[[#This Row],[14_vzsk]])</f>
        <v/>
      </c>
    </row>
    <row r="14" spans="1:19" x14ac:dyDescent="0.25">
      <c r="A14" s="449">
        <v>305</v>
      </c>
      <c r="B14" s="448" t="s">
        <v>3016</v>
      </c>
      <c r="C14" s="4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11.5</v>
      </c>
      <c r="D14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18890.62</v>
      </c>
      <c r="H14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1105.95</v>
      </c>
      <c r="I14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263.45</v>
      </c>
      <c r="J14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389710</v>
      </c>
      <c r="N14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389710</v>
      </c>
      <c r="O14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8554107</v>
      </c>
      <c r="P14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451" t="str">
        <f ca="1">IF(Tabulka[[#This Row],[15_vzpl]]=0,"",Tabulka[[#This Row],[14_vzsk]]/Tabulka[[#This Row],[15_vzpl]])</f>
        <v/>
      </c>
      <c r="S14" s="450" t="str">
        <f ca="1">IF(Tabulka[[#This Row],[15_vzpl]]-Tabulka[[#This Row],[14_vzsk]]=0,"",Tabulka[[#This Row],[15_vzpl]]-Tabulka[[#This Row],[14_vzsk]])</f>
        <v/>
      </c>
    </row>
    <row r="15" spans="1:19" x14ac:dyDescent="0.25">
      <c r="A15" s="449">
        <v>636</v>
      </c>
      <c r="B15" s="448" t="s">
        <v>3017</v>
      </c>
      <c r="C15" s="4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5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5263.5</v>
      </c>
      <c r="H15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710</v>
      </c>
      <c r="I15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67882</v>
      </c>
      <c r="N15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67882</v>
      </c>
      <c r="O15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1621565</v>
      </c>
      <c r="P15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51" t="str">
        <f ca="1">IF(Tabulka[[#This Row],[15_vzpl]]=0,"",Tabulka[[#This Row],[14_vzsk]]/Tabulka[[#This Row],[15_vzpl]])</f>
        <v/>
      </c>
      <c r="S15" s="450" t="str">
        <f ca="1">IF(Tabulka[[#This Row],[15_vzpl]]-Tabulka[[#This Row],[14_vzsk]]=0,"",Tabulka[[#This Row],[15_vzpl]]-Tabulka[[#This Row],[14_vzsk]])</f>
        <v/>
      </c>
    </row>
    <row r="16" spans="1:19" x14ac:dyDescent="0.25">
      <c r="A16" s="449">
        <v>642</v>
      </c>
      <c r="B16" s="448" t="s">
        <v>3018</v>
      </c>
      <c r="C16" s="4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3.6666666666666665</v>
      </c>
      <c r="D16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6348</v>
      </c>
      <c r="H16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655.5</v>
      </c>
      <c r="I16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54865</v>
      </c>
      <c r="N16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54865</v>
      </c>
      <c r="O16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1686207</v>
      </c>
      <c r="P16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51" t="str">
        <f ca="1">IF(Tabulka[[#This Row],[15_vzpl]]=0,"",Tabulka[[#This Row],[14_vzsk]]/Tabulka[[#This Row],[15_vzpl]])</f>
        <v/>
      </c>
      <c r="S16" s="450" t="str">
        <f ca="1">IF(Tabulka[[#This Row],[15_vzpl]]-Tabulka[[#This Row],[14_vzsk]]=0,"",Tabulka[[#This Row],[15_vzpl]]-Tabulka[[#This Row],[14_vzsk]])</f>
        <v/>
      </c>
    </row>
    <row r="17" spans="1:19" x14ac:dyDescent="0.25">
      <c r="A17" s="449" t="s">
        <v>2998</v>
      </c>
      <c r="B17" s="448"/>
      <c r="C17" s="4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1912</v>
      </c>
      <c r="H17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17568</v>
      </c>
      <c r="N17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17568</v>
      </c>
      <c r="O17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404547</v>
      </c>
      <c r="P17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51" t="str">
        <f ca="1">IF(Tabulka[[#This Row],[15_vzpl]]=0,"",Tabulka[[#This Row],[14_vzsk]]/Tabulka[[#This Row],[15_vzpl]])</f>
        <v/>
      </c>
      <c r="S17" s="450" t="str">
        <f ca="1">IF(Tabulka[[#This Row],[15_vzpl]]-Tabulka[[#This Row],[14_vzsk]]=0,"",Tabulka[[#This Row],[15_vzpl]]-Tabulka[[#This Row],[14_vzsk]])</f>
        <v/>
      </c>
    </row>
    <row r="18" spans="1:19" x14ac:dyDescent="0.25">
      <c r="A18" s="449">
        <v>30</v>
      </c>
      <c r="B18" s="448" t="s">
        <v>3019</v>
      </c>
      <c r="C18" s="4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1912</v>
      </c>
      <c r="H18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17568</v>
      </c>
      <c r="N18" s="44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17568</v>
      </c>
      <c r="O18" s="44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404547</v>
      </c>
      <c r="P18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51" t="str">
        <f ca="1">IF(Tabulka[[#This Row],[15_vzpl]]=0,"",Tabulka[[#This Row],[14_vzsk]]/Tabulka[[#This Row],[15_vzpl]])</f>
        <v/>
      </c>
      <c r="S18" s="450" t="str">
        <f ca="1">IF(Tabulka[[#This Row],[15_vzpl]]-Tabulka[[#This Row],[14_vzsk]]=0,"",Tabulka[[#This Row],[15_vzpl]]-Tabulka[[#This Row],[14_vzsk]])</f>
        <v/>
      </c>
    </row>
    <row r="19" spans="1:19" x14ac:dyDescent="0.25">
      <c r="A19" t="s">
        <v>278</v>
      </c>
    </row>
    <row r="20" spans="1:19" x14ac:dyDescent="0.25">
      <c r="A20" s="208" t="s">
        <v>179</v>
      </c>
    </row>
    <row r="21" spans="1:19" x14ac:dyDescent="0.25">
      <c r="A21" s="209" t="s">
        <v>248</v>
      </c>
    </row>
    <row r="22" spans="1:19" x14ac:dyDescent="0.25">
      <c r="A22" s="441" t="s">
        <v>247</v>
      </c>
    </row>
    <row r="23" spans="1:19" x14ac:dyDescent="0.25">
      <c r="A23" s="354" t="s">
        <v>210</v>
      </c>
    </row>
    <row r="24" spans="1:19" x14ac:dyDescent="0.25">
      <c r="A24" s="356" t="s">
        <v>215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8">
    <cfRule type="cellIs" dxfId="25" priority="3" operator="lessThan">
      <formula>0</formula>
    </cfRule>
  </conditionalFormatting>
  <conditionalFormatting sqref="R6:R18">
    <cfRule type="cellIs" dxfId="24" priority="4" operator="greaterThan">
      <formula>1</formula>
    </cfRule>
  </conditionalFormatting>
  <conditionalFormatting sqref="A8:S18">
    <cfRule type="expression" dxfId="23" priority="2">
      <formula>$B8=""</formula>
    </cfRule>
  </conditionalFormatting>
  <conditionalFormatting sqref="P8:S18">
    <cfRule type="expression" dxfId="22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AC8FA071-1A1E-43B0-89D0-2B8D2E4803B7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47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3011</v>
      </c>
    </row>
    <row r="2" spans="1:19" x14ac:dyDescent="0.25">
      <c r="A2" s="666" t="s">
        <v>305</v>
      </c>
    </row>
    <row r="3" spans="1:19" x14ac:dyDescent="0.25">
      <c r="A3" s="487" t="s">
        <v>187</v>
      </c>
      <c r="B3" s="486">
        <v>2019</v>
      </c>
      <c r="C3" t="s">
        <v>277</v>
      </c>
      <c r="D3" t="s">
        <v>268</v>
      </c>
      <c r="E3" t="s">
        <v>266</v>
      </c>
      <c r="F3" t="s">
        <v>265</v>
      </c>
      <c r="G3" t="s">
        <v>264</v>
      </c>
      <c r="H3" t="s">
        <v>263</v>
      </c>
      <c r="I3" t="s">
        <v>262</v>
      </c>
      <c r="J3" t="s">
        <v>261</v>
      </c>
      <c r="K3" t="s">
        <v>260</v>
      </c>
      <c r="L3" t="s">
        <v>259</v>
      </c>
      <c r="M3" t="s">
        <v>258</v>
      </c>
      <c r="N3" t="s">
        <v>257</v>
      </c>
      <c r="O3" t="s">
        <v>256</v>
      </c>
      <c r="P3" t="s">
        <v>255</v>
      </c>
      <c r="Q3" t="s">
        <v>254</v>
      </c>
      <c r="R3" t="s">
        <v>253</v>
      </c>
      <c r="S3" t="s">
        <v>252</v>
      </c>
    </row>
    <row r="4" spans="1:19" x14ac:dyDescent="0.25">
      <c r="A4" s="485" t="s">
        <v>188</v>
      </c>
      <c r="B4" s="484">
        <v>1</v>
      </c>
      <c r="C4" s="479">
        <v>1</v>
      </c>
      <c r="D4" s="479" t="s">
        <v>249</v>
      </c>
      <c r="E4" s="478">
        <v>8.8000000000000007</v>
      </c>
      <c r="F4" s="478"/>
      <c r="G4" s="478"/>
      <c r="H4" s="478"/>
      <c r="I4" s="478">
        <v>1467.5</v>
      </c>
      <c r="J4" s="478">
        <v>74</v>
      </c>
      <c r="K4" s="478">
        <v>8</v>
      </c>
      <c r="L4" s="478"/>
      <c r="M4" s="478"/>
      <c r="N4" s="478"/>
      <c r="O4" s="478"/>
      <c r="P4" s="478"/>
      <c r="Q4" s="478">
        <v>769350</v>
      </c>
      <c r="R4" s="478"/>
      <c r="S4" s="478">
        <v>2133.4310850439883</v>
      </c>
    </row>
    <row r="5" spans="1:19" x14ac:dyDescent="0.25">
      <c r="A5" s="483" t="s">
        <v>189</v>
      </c>
      <c r="B5" s="482">
        <v>2</v>
      </c>
      <c r="C5">
        <v>1</v>
      </c>
      <c r="D5">
        <v>99</v>
      </c>
      <c r="S5">
        <v>2133.4310850439883</v>
      </c>
    </row>
    <row r="6" spans="1:19" x14ac:dyDescent="0.25">
      <c r="A6" s="485" t="s">
        <v>190</v>
      </c>
      <c r="B6" s="484">
        <v>3</v>
      </c>
      <c r="C6">
        <v>1</v>
      </c>
      <c r="D6">
        <v>101</v>
      </c>
      <c r="E6">
        <v>8.8000000000000007</v>
      </c>
      <c r="I6">
        <v>1467.5</v>
      </c>
      <c r="J6">
        <v>74</v>
      </c>
      <c r="K6">
        <v>8</v>
      </c>
      <c r="Q6">
        <v>769350</v>
      </c>
    </row>
    <row r="7" spans="1:19" x14ac:dyDescent="0.25">
      <c r="A7" s="483" t="s">
        <v>191</v>
      </c>
      <c r="B7" s="482">
        <v>4</v>
      </c>
      <c r="C7">
        <v>1</v>
      </c>
      <c r="D7" t="s">
        <v>2997</v>
      </c>
      <c r="E7">
        <v>53</v>
      </c>
      <c r="I7">
        <v>8091.1500000000005</v>
      </c>
      <c r="J7">
        <v>208.5</v>
      </c>
      <c r="K7">
        <v>124.05</v>
      </c>
      <c r="Q7">
        <v>2555746</v>
      </c>
      <c r="R7">
        <v>30500</v>
      </c>
      <c r="S7">
        <v>2500</v>
      </c>
    </row>
    <row r="8" spans="1:19" x14ac:dyDescent="0.25">
      <c r="A8" s="485" t="s">
        <v>192</v>
      </c>
      <c r="B8" s="484">
        <v>5</v>
      </c>
      <c r="C8">
        <v>1</v>
      </c>
      <c r="D8">
        <v>303</v>
      </c>
      <c r="E8">
        <v>9</v>
      </c>
      <c r="I8">
        <v>1528.5</v>
      </c>
      <c r="J8">
        <v>52</v>
      </c>
      <c r="K8">
        <v>39</v>
      </c>
      <c r="Q8">
        <v>380208</v>
      </c>
      <c r="R8">
        <v>30500</v>
      </c>
      <c r="S8">
        <v>2500</v>
      </c>
    </row>
    <row r="9" spans="1:19" x14ac:dyDescent="0.25">
      <c r="A9" s="483" t="s">
        <v>193</v>
      </c>
      <c r="B9" s="482">
        <v>6</v>
      </c>
      <c r="C9">
        <v>1</v>
      </c>
      <c r="D9">
        <v>304</v>
      </c>
      <c r="E9">
        <v>25</v>
      </c>
      <c r="I9">
        <v>3853.6</v>
      </c>
      <c r="J9">
        <v>100.5</v>
      </c>
      <c r="K9">
        <v>82.45</v>
      </c>
      <c r="Q9">
        <v>1316850</v>
      </c>
    </row>
    <row r="10" spans="1:19" x14ac:dyDescent="0.25">
      <c r="A10" s="485" t="s">
        <v>194</v>
      </c>
      <c r="B10" s="484">
        <v>7</v>
      </c>
      <c r="C10">
        <v>1</v>
      </c>
      <c r="D10">
        <v>305</v>
      </c>
      <c r="E10">
        <v>12</v>
      </c>
      <c r="I10">
        <v>1578.05</v>
      </c>
      <c r="J10">
        <v>33</v>
      </c>
      <c r="K10">
        <v>2.6</v>
      </c>
      <c r="Q10">
        <v>614109</v>
      </c>
    </row>
    <row r="11" spans="1:19" x14ac:dyDescent="0.25">
      <c r="A11" s="483" t="s">
        <v>195</v>
      </c>
      <c r="B11" s="482">
        <v>8</v>
      </c>
      <c r="C11">
        <v>1</v>
      </c>
      <c r="D11">
        <v>636</v>
      </c>
      <c r="E11">
        <v>3</v>
      </c>
      <c r="I11">
        <v>489</v>
      </c>
      <c r="J11">
        <v>7</v>
      </c>
      <c r="Q11">
        <v>108690</v>
      </c>
    </row>
    <row r="12" spans="1:19" x14ac:dyDescent="0.25">
      <c r="A12" s="485" t="s">
        <v>196</v>
      </c>
      <c r="B12" s="484">
        <v>9</v>
      </c>
      <c r="C12">
        <v>1</v>
      </c>
      <c r="D12">
        <v>642</v>
      </c>
      <c r="E12">
        <v>4</v>
      </c>
      <c r="I12">
        <v>642</v>
      </c>
      <c r="J12">
        <v>16</v>
      </c>
      <c r="Q12">
        <v>135889</v>
      </c>
    </row>
    <row r="13" spans="1:19" x14ac:dyDescent="0.25">
      <c r="A13" s="483" t="s">
        <v>197</v>
      </c>
      <c r="B13" s="482">
        <v>10</v>
      </c>
      <c r="C13">
        <v>1</v>
      </c>
      <c r="D13" t="s">
        <v>2998</v>
      </c>
      <c r="E13">
        <v>1</v>
      </c>
      <c r="I13">
        <v>184</v>
      </c>
      <c r="Q13">
        <v>31400</v>
      </c>
    </row>
    <row r="14" spans="1:19" x14ac:dyDescent="0.25">
      <c r="A14" s="485" t="s">
        <v>198</v>
      </c>
      <c r="B14" s="484">
        <v>11</v>
      </c>
      <c r="C14">
        <v>1</v>
      </c>
      <c r="D14">
        <v>30</v>
      </c>
      <c r="E14">
        <v>1</v>
      </c>
      <c r="I14">
        <v>184</v>
      </c>
      <c r="Q14">
        <v>31400</v>
      </c>
    </row>
    <row r="15" spans="1:19" x14ac:dyDescent="0.25">
      <c r="A15" s="483" t="s">
        <v>199</v>
      </c>
      <c r="B15" s="482">
        <v>12</v>
      </c>
      <c r="C15" t="s">
        <v>2999</v>
      </c>
      <c r="E15">
        <v>62.8</v>
      </c>
      <c r="I15">
        <v>9742.65</v>
      </c>
      <c r="J15">
        <v>282.5</v>
      </c>
      <c r="K15">
        <v>132.04999999999998</v>
      </c>
      <c r="Q15">
        <v>3356496</v>
      </c>
      <c r="R15">
        <v>30500</v>
      </c>
      <c r="S15">
        <v>4633.4310850439888</v>
      </c>
    </row>
    <row r="16" spans="1:19" x14ac:dyDescent="0.25">
      <c r="A16" s="481" t="s">
        <v>187</v>
      </c>
      <c r="B16" s="480">
        <v>2019</v>
      </c>
      <c r="C16">
        <v>2</v>
      </c>
      <c r="D16" t="s">
        <v>249</v>
      </c>
      <c r="E16">
        <v>9</v>
      </c>
      <c r="I16">
        <v>1154</v>
      </c>
      <c r="J16">
        <v>102</v>
      </c>
      <c r="K16">
        <v>17</v>
      </c>
      <c r="Q16">
        <v>763351</v>
      </c>
      <c r="S16">
        <v>2133.4310850439883</v>
      </c>
    </row>
    <row r="17" spans="3:19" x14ac:dyDescent="0.25">
      <c r="C17">
        <v>2</v>
      </c>
      <c r="D17">
        <v>99</v>
      </c>
      <c r="S17">
        <v>2133.4310850439883</v>
      </c>
    </row>
    <row r="18" spans="3:19" x14ac:dyDescent="0.25">
      <c r="C18">
        <v>2</v>
      </c>
      <c r="D18">
        <v>101</v>
      </c>
      <c r="E18">
        <v>9</v>
      </c>
      <c r="I18">
        <v>1154</v>
      </c>
      <c r="J18">
        <v>102</v>
      </c>
      <c r="K18">
        <v>17</v>
      </c>
      <c r="Q18">
        <v>763351</v>
      </c>
    </row>
    <row r="19" spans="3:19" x14ac:dyDescent="0.25">
      <c r="C19">
        <v>2</v>
      </c>
      <c r="D19" t="s">
        <v>2997</v>
      </c>
      <c r="E19">
        <v>53</v>
      </c>
      <c r="I19">
        <v>6598.62</v>
      </c>
      <c r="J19">
        <v>639.25</v>
      </c>
      <c r="K19">
        <v>186.88000000000002</v>
      </c>
      <c r="O19">
        <v>22374</v>
      </c>
      <c r="P19">
        <v>22374</v>
      </c>
      <c r="Q19">
        <v>2635869</v>
      </c>
      <c r="S19">
        <v>2500</v>
      </c>
    </row>
    <row r="20" spans="3:19" x14ac:dyDescent="0.25">
      <c r="C20">
        <v>2</v>
      </c>
      <c r="D20">
        <v>303</v>
      </c>
      <c r="E20">
        <v>9</v>
      </c>
      <c r="I20">
        <v>1216.5</v>
      </c>
      <c r="J20">
        <v>124</v>
      </c>
      <c r="K20">
        <v>25.5</v>
      </c>
      <c r="O20">
        <v>4175</v>
      </c>
      <c r="P20">
        <v>4175</v>
      </c>
      <c r="Q20">
        <v>396149</v>
      </c>
      <c r="S20">
        <v>2500</v>
      </c>
    </row>
    <row r="21" spans="3:19" x14ac:dyDescent="0.25">
      <c r="C21">
        <v>2</v>
      </c>
      <c r="D21">
        <v>304</v>
      </c>
      <c r="E21">
        <v>25</v>
      </c>
      <c r="I21">
        <v>3051.58</v>
      </c>
      <c r="J21">
        <v>282</v>
      </c>
      <c r="K21">
        <v>104.42</v>
      </c>
      <c r="O21">
        <v>17449</v>
      </c>
      <c r="P21">
        <v>17449</v>
      </c>
      <c r="Q21">
        <v>1328657</v>
      </c>
    </row>
    <row r="22" spans="3:19" x14ac:dyDescent="0.25">
      <c r="C22">
        <v>2</v>
      </c>
      <c r="D22">
        <v>305</v>
      </c>
      <c r="E22">
        <v>12</v>
      </c>
      <c r="I22">
        <v>1400.54</v>
      </c>
      <c r="J22">
        <v>129.25</v>
      </c>
      <c r="K22">
        <v>56.96</v>
      </c>
      <c r="O22">
        <v>750</v>
      </c>
      <c r="P22">
        <v>750</v>
      </c>
      <c r="Q22">
        <v>648507</v>
      </c>
    </row>
    <row r="23" spans="3:19" x14ac:dyDescent="0.25">
      <c r="C23">
        <v>2</v>
      </c>
      <c r="D23">
        <v>636</v>
      </c>
      <c r="E23">
        <v>3</v>
      </c>
      <c r="I23">
        <v>402</v>
      </c>
      <c r="J23">
        <v>53</v>
      </c>
      <c r="Q23">
        <v>122597</v>
      </c>
    </row>
    <row r="24" spans="3:19" x14ac:dyDescent="0.25">
      <c r="C24">
        <v>2</v>
      </c>
      <c r="D24">
        <v>642</v>
      </c>
      <c r="E24">
        <v>4</v>
      </c>
      <c r="I24">
        <v>528</v>
      </c>
      <c r="J24">
        <v>51</v>
      </c>
      <c r="Q24">
        <v>139959</v>
      </c>
    </row>
    <row r="25" spans="3:19" x14ac:dyDescent="0.25">
      <c r="C25">
        <v>2</v>
      </c>
      <c r="D25" t="s">
        <v>2998</v>
      </c>
      <c r="E25">
        <v>1</v>
      </c>
      <c r="I25">
        <v>120</v>
      </c>
      <c r="Q25">
        <v>31063</v>
      </c>
    </row>
    <row r="26" spans="3:19" x14ac:dyDescent="0.25">
      <c r="C26">
        <v>2</v>
      </c>
      <c r="D26">
        <v>30</v>
      </c>
      <c r="E26">
        <v>1</v>
      </c>
      <c r="I26">
        <v>120</v>
      </c>
      <c r="Q26">
        <v>31063</v>
      </c>
    </row>
    <row r="27" spans="3:19" x14ac:dyDescent="0.25">
      <c r="C27" t="s">
        <v>3000</v>
      </c>
      <c r="E27">
        <v>63</v>
      </c>
      <c r="I27">
        <v>7872.62</v>
      </c>
      <c r="J27">
        <v>741.25</v>
      </c>
      <c r="K27">
        <v>203.88000000000002</v>
      </c>
      <c r="O27">
        <v>22374</v>
      </c>
      <c r="P27">
        <v>22374</v>
      </c>
      <c r="Q27">
        <v>3430283</v>
      </c>
      <c r="S27">
        <v>4633.4310850439888</v>
      </c>
    </row>
    <row r="28" spans="3:19" x14ac:dyDescent="0.25">
      <c r="C28">
        <v>3</v>
      </c>
      <c r="D28" t="s">
        <v>249</v>
      </c>
      <c r="E28">
        <v>9</v>
      </c>
      <c r="I28">
        <v>1089.75</v>
      </c>
      <c r="J28">
        <v>111</v>
      </c>
      <c r="K28">
        <v>1</v>
      </c>
      <c r="Q28">
        <v>812297</v>
      </c>
      <c r="S28">
        <v>2133.4310850439883</v>
      </c>
    </row>
    <row r="29" spans="3:19" x14ac:dyDescent="0.25">
      <c r="C29">
        <v>3</v>
      </c>
      <c r="D29">
        <v>99</v>
      </c>
      <c r="S29">
        <v>2133.4310850439883</v>
      </c>
    </row>
    <row r="30" spans="3:19" x14ac:dyDescent="0.25">
      <c r="C30">
        <v>3</v>
      </c>
      <c r="D30">
        <v>101</v>
      </c>
      <c r="E30">
        <v>9</v>
      </c>
      <c r="I30">
        <v>1089.75</v>
      </c>
      <c r="J30">
        <v>111</v>
      </c>
      <c r="K30">
        <v>1</v>
      </c>
      <c r="Q30">
        <v>812297</v>
      </c>
    </row>
    <row r="31" spans="3:19" x14ac:dyDescent="0.25">
      <c r="C31">
        <v>3</v>
      </c>
      <c r="D31" t="s">
        <v>2997</v>
      </c>
      <c r="E31">
        <v>53</v>
      </c>
      <c r="I31">
        <v>7018.45</v>
      </c>
      <c r="J31">
        <v>567.5</v>
      </c>
      <c r="K31">
        <v>180.69</v>
      </c>
      <c r="O31">
        <v>40356</v>
      </c>
      <c r="P31">
        <v>40356</v>
      </c>
      <c r="Q31">
        <v>2674329</v>
      </c>
      <c r="S31">
        <v>2500</v>
      </c>
    </row>
    <row r="32" spans="3:19" x14ac:dyDescent="0.25">
      <c r="C32">
        <v>3</v>
      </c>
      <c r="D32">
        <v>303</v>
      </c>
      <c r="E32">
        <v>9</v>
      </c>
      <c r="I32">
        <v>1353.75</v>
      </c>
      <c r="J32">
        <v>85</v>
      </c>
      <c r="K32">
        <v>34.5</v>
      </c>
      <c r="O32">
        <v>12104</v>
      </c>
      <c r="P32">
        <v>12104</v>
      </c>
      <c r="Q32">
        <v>396901</v>
      </c>
      <c r="S32">
        <v>2500</v>
      </c>
    </row>
    <row r="33" spans="3:19" x14ac:dyDescent="0.25">
      <c r="C33">
        <v>3</v>
      </c>
      <c r="D33">
        <v>304</v>
      </c>
      <c r="E33">
        <v>25</v>
      </c>
      <c r="I33">
        <v>3223.15</v>
      </c>
      <c r="J33">
        <v>266.5</v>
      </c>
      <c r="K33">
        <v>105.36</v>
      </c>
      <c r="O33">
        <v>20180</v>
      </c>
      <c r="P33">
        <v>20180</v>
      </c>
      <c r="Q33">
        <v>1322525</v>
      </c>
    </row>
    <row r="34" spans="3:19" x14ac:dyDescent="0.25">
      <c r="C34">
        <v>3</v>
      </c>
      <c r="D34">
        <v>305</v>
      </c>
      <c r="E34">
        <v>12</v>
      </c>
      <c r="I34">
        <v>1411.05</v>
      </c>
      <c r="J34">
        <v>118</v>
      </c>
      <c r="K34">
        <v>40.83</v>
      </c>
      <c r="O34">
        <v>8072</v>
      </c>
      <c r="P34">
        <v>8072</v>
      </c>
      <c r="Q34">
        <v>691737</v>
      </c>
    </row>
    <row r="35" spans="3:19" x14ac:dyDescent="0.25">
      <c r="C35">
        <v>3</v>
      </c>
      <c r="D35">
        <v>636</v>
      </c>
      <c r="E35">
        <v>3</v>
      </c>
      <c r="I35">
        <v>436.5</v>
      </c>
      <c r="J35">
        <v>53</v>
      </c>
      <c r="Q35">
        <v>123550</v>
      </c>
    </row>
    <row r="36" spans="3:19" x14ac:dyDescent="0.25">
      <c r="C36">
        <v>3</v>
      </c>
      <c r="D36">
        <v>642</v>
      </c>
      <c r="E36">
        <v>4</v>
      </c>
      <c r="I36">
        <v>594</v>
      </c>
      <c r="J36">
        <v>45</v>
      </c>
      <c r="Q36">
        <v>139616</v>
      </c>
    </row>
    <row r="37" spans="3:19" x14ac:dyDescent="0.25">
      <c r="C37">
        <v>3</v>
      </c>
      <c r="D37" t="s">
        <v>2998</v>
      </c>
      <c r="E37">
        <v>1</v>
      </c>
      <c r="I37">
        <v>168</v>
      </c>
      <c r="Q37">
        <v>32400</v>
      </c>
    </row>
    <row r="38" spans="3:19" x14ac:dyDescent="0.25">
      <c r="C38">
        <v>3</v>
      </c>
      <c r="D38">
        <v>30</v>
      </c>
      <c r="E38">
        <v>1</v>
      </c>
      <c r="I38">
        <v>168</v>
      </c>
      <c r="Q38">
        <v>32400</v>
      </c>
    </row>
    <row r="39" spans="3:19" x14ac:dyDescent="0.25">
      <c r="C39" t="s">
        <v>3001</v>
      </c>
      <c r="E39">
        <v>63</v>
      </c>
      <c r="I39">
        <v>8276.2000000000007</v>
      </c>
      <c r="J39">
        <v>678.5</v>
      </c>
      <c r="K39">
        <v>181.69</v>
      </c>
      <c r="O39">
        <v>40356</v>
      </c>
      <c r="P39">
        <v>40356</v>
      </c>
      <c r="Q39">
        <v>3519026</v>
      </c>
      <c r="S39">
        <v>4633.4310850439888</v>
      </c>
    </row>
    <row r="40" spans="3:19" x14ac:dyDescent="0.25">
      <c r="C40">
        <v>4</v>
      </c>
      <c r="D40" t="s">
        <v>249</v>
      </c>
      <c r="E40">
        <v>9</v>
      </c>
      <c r="I40">
        <v>1485</v>
      </c>
      <c r="J40">
        <v>65</v>
      </c>
      <c r="Q40">
        <v>793440</v>
      </c>
      <c r="S40">
        <v>2133.4310850439883</v>
      </c>
    </row>
    <row r="41" spans="3:19" x14ac:dyDescent="0.25">
      <c r="C41">
        <v>4</v>
      </c>
      <c r="D41">
        <v>99</v>
      </c>
      <c r="S41">
        <v>2133.4310850439883</v>
      </c>
    </row>
    <row r="42" spans="3:19" x14ac:dyDescent="0.25">
      <c r="C42">
        <v>4</v>
      </c>
      <c r="D42">
        <v>101</v>
      </c>
      <c r="E42">
        <v>9</v>
      </c>
      <c r="I42">
        <v>1485</v>
      </c>
      <c r="J42">
        <v>65</v>
      </c>
      <c r="Q42">
        <v>793440</v>
      </c>
    </row>
    <row r="43" spans="3:19" x14ac:dyDescent="0.25">
      <c r="C43">
        <v>4</v>
      </c>
      <c r="D43" t="s">
        <v>2997</v>
      </c>
      <c r="E43">
        <v>53</v>
      </c>
      <c r="I43">
        <v>7818.62</v>
      </c>
      <c r="J43">
        <v>389.5</v>
      </c>
      <c r="K43">
        <v>124.19</v>
      </c>
      <c r="O43">
        <v>5000</v>
      </c>
      <c r="P43">
        <v>5000</v>
      </c>
      <c r="Q43">
        <v>2790961</v>
      </c>
      <c r="S43">
        <v>2500</v>
      </c>
    </row>
    <row r="44" spans="3:19" x14ac:dyDescent="0.25">
      <c r="C44">
        <v>4</v>
      </c>
      <c r="D44">
        <v>303</v>
      </c>
      <c r="E44">
        <v>9</v>
      </c>
      <c r="I44">
        <v>1249.5</v>
      </c>
      <c r="J44">
        <v>51</v>
      </c>
      <c r="K44">
        <v>18</v>
      </c>
      <c r="Q44">
        <v>384722</v>
      </c>
      <c r="S44">
        <v>2500</v>
      </c>
    </row>
    <row r="45" spans="3:19" x14ac:dyDescent="0.25">
      <c r="C45">
        <v>4</v>
      </c>
      <c r="D45">
        <v>304</v>
      </c>
      <c r="E45">
        <v>25</v>
      </c>
      <c r="I45">
        <v>3792.08</v>
      </c>
      <c r="J45">
        <v>168.5</v>
      </c>
      <c r="K45">
        <v>84.69</v>
      </c>
      <c r="O45">
        <v>5000</v>
      </c>
      <c r="P45">
        <v>5000</v>
      </c>
      <c r="Q45">
        <v>1430952</v>
      </c>
    </row>
    <row r="46" spans="3:19" x14ac:dyDescent="0.25">
      <c r="C46">
        <v>4</v>
      </c>
      <c r="D46">
        <v>305</v>
      </c>
      <c r="E46">
        <v>12</v>
      </c>
      <c r="I46">
        <v>1778.04</v>
      </c>
      <c r="J46">
        <v>43</v>
      </c>
      <c r="K46">
        <v>21.5</v>
      </c>
      <c r="Q46">
        <v>704266</v>
      </c>
    </row>
    <row r="47" spans="3:19" x14ac:dyDescent="0.25">
      <c r="C47">
        <v>4</v>
      </c>
      <c r="D47">
        <v>636</v>
      </c>
      <c r="E47">
        <v>3</v>
      </c>
      <c r="I47">
        <v>459</v>
      </c>
      <c r="J47">
        <v>77</v>
      </c>
      <c r="Q47">
        <v>140959</v>
      </c>
    </row>
    <row r="48" spans="3:19" x14ac:dyDescent="0.25">
      <c r="C48">
        <v>4</v>
      </c>
      <c r="D48">
        <v>642</v>
      </c>
      <c r="E48">
        <v>4</v>
      </c>
      <c r="I48">
        <v>540</v>
      </c>
      <c r="J48">
        <v>50</v>
      </c>
      <c r="Q48">
        <v>130062</v>
      </c>
    </row>
    <row r="49" spans="3:19" x14ac:dyDescent="0.25">
      <c r="C49">
        <v>4</v>
      </c>
      <c r="D49" t="s">
        <v>2998</v>
      </c>
      <c r="E49">
        <v>1</v>
      </c>
      <c r="I49">
        <v>176</v>
      </c>
      <c r="Q49">
        <v>32400</v>
      </c>
    </row>
    <row r="50" spans="3:19" x14ac:dyDescent="0.25">
      <c r="C50">
        <v>4</v>
      </c>
      <c r="D50">
        <v>30</v>
      </c>
      <c r="E50">
        <v>1</v>
      </c>
      <c r="I50">
        <v>176</v>
      </c>
      <c r="Q50">
        <v>32400</v>
      </c>
    </row>
    <row r="51" spans="3:19" x14ac:dyDescent="0.25">
      <c r="C51" t="s">
        <v>3002</v>
      </c>
      <c r="E51">
        <v>63</v>
      </c>
      <c r="I51">
        <v>9479.619999999999</v>
      </c>
      <c r="J51">
        <v>454.5</v>
      </c>
      <c r="K51">
        <v>124.19</v>
      </c>
      <c r="O51">
        <v>5000</v>
      </c>
      <c r="P51">
        <v>5000</v>
      </c>
      <c r="Q51">
        <v>3616801</v>
      </c>
      <c r="S51">
        <v>4633.4310850439888</v>
      </c>
    </row>
    <row r="52" spans="3:19" x14ac:dyDescent="0.25">
      <c r="C52">
        <v>5</v>
      </c>
      <c r="D52" t="s">
        <v>249</v>
      </c>
      <c r="E52">
        <v>9</v>
      </c>
      <c r="I52">
        <v>1496.5</v>
      </c>
      <c r="J52">
        <v>89</v>
      </c>
      <c r="K52">
        <v>8</v>
      </c>
      <c r="Q52">
        <v>823162</v>
      </c>
      <c r="S52">
        <v>2133.4310850439883</v>
      </c>
    </row>
    <row r="53" spans="3:19" x14ac:dyDescent="0.25">
      <c r="C53">
        <v>5</v>
      </c>
      <c r="D53">
        <v>99</v>
      </c>
      <c r="S53">
        <v>2133.4310850439883</v>
      </c>
    </row>
    <row r="54" spans="3:19" x14ac:dyDescent="0.25">
      <c r="C54">
        <v>5</v>
      </c>
      <c r="D54">
        <v>101</v>
      </c>
      <c r="E54">
        <v>9</v>
      </c>
      <c r="I54">
        <v>1496.5</v>
      </c>
      <c r="J54">
        <v>89</v>
      </c>
      <c r="K54">
        <v>8</v>
      </c>
      <c r="Q54">
        <v>823162</v>
      </c>
    </row>
    <row r="55" spans="3:19" x14ac:dyDescent="0.25">
      <c r="C55">
        <v>5</v>
      </c>
      <c r="D55" t="s">
        <v>2997</v>
      </c>
      <c r="E55">
        <v>52</v>
      </c>
      <c r="I55">
        <v>7830.1</v>
      </c>
      <c r="J55">
        <v>457</v>
      </c>
      <c r="K55">
        <v>74.599999999999994</v>
      </c>
      <c r="Q55">
        <v>2767292</v>
      </c>
      <c r="R55">
        <v>500</v>
      </c>
      <c r="S55">
        <v>2500</v>
      </c>
    </row>
    <row r="56" spans="3:19" x14ac:dyDescent="0.25">
      <c r="C56">
        <v>5</v>
      </c>
      <c r="D56">
        <v>303</v>
      </c>
      <c r="E56">
        <v>9.25</v>
      </c>
      <c r="I56">
        <v>1453.15</v>
      </c>
      <c r="J56">
        <v>36</v>
      </c>
      <c r="K56">
        <v>13.75</v>
      </c>
      <c r="Q56">
        <v>405526</v>
      </c>
      <c r="R56">
        <v>500</v>
      </c>
      <c r="S56">
        <v>2500</v>
      </c>
    </row>
    <row r="57" spans="3:19" x14ac:dyDescent="0.25">
      <c r="C57">
        <v>5</v>
      </c>
      <c r="D57">
        <v>304</v>
      </c>
      <c r="E57">
        <v>25.5</v>
      </c>
      <c r="I57">
        <v>3708.8</v>
      </c>
      <c r="J57">
        <v>191</v>
      </c>
      <c r="K57">
        <v>33.75</v>
      </c>
      <c r="Q57">
        <v>1388801</v>
      </c>
    </row>
    <row r="58" spans="3:19" x14ac:dyDescent="0.25">
      <c r="C58">
        <v>5</v>
      </c>
      <c r="D58">
        <v>305</v>
      </c>
      <c r="E58">
        <v>11.25</v>
      </c>
      <c r="I58">
        <v>1796.65</v>
      </c>
      <c r="J58">
        <v>67</v>
      </c>
      <c r="K58">
        <v>27.1</v>
      </c>
      <c r="Q58">
        <v>704001</v>
      </c>
    </row>
    <row r="59" spans="3:19" x14ac:dyDescent="0.25">
      <c r="C59">
        <v>5</v>
      </c>
      <c r="D59">
        <v>636</v>
      </c>
      <c r="E59">
        <v>3</v>
      </c>
      <c r="I59">
        <v>474</v>
      </c>
      <c r="J59">
        <v>76</v>
      </c>
      <c r="Q59">
        <v>136729</v>
      </c>
    </row>
    <row r="60" spans="3:19" x14ac:dyDescent="0.25">
      <c r="C60">
        <v>5</v>
      </c>
      <c r="D60">
        <v>642</v>
      </c>
      <c r="E60">
        <v>3</v>
      </c>
      <c r="I60">
        <v>397.5</v>
      </c>
      <c r="J60">
        <v>87</v>
      </c>
      <c r="Q60">
        <v>132235</v>
      </c>
    </row>
    <row r="61" spans="3:19" x14ac:dyDescent="0.25">
      <c r="C61">
        <v>5</v>
      </c>
      <c r="D61" t="s">
        <v>2998</v>
      </c>
      <c r="E61">
        <v>1</v>
      </c>
      <c r="I61">
        <v>184</v>
      </c>
      <c r="Q61">
        <v>32400</v>
      </c>
    </row>
    <row r="62" spans="3:19" x14ac:dyDescent="0.25">
      <c r="C62">
        <v>5</v>
      </c>
      <c r="D62">
        <v>30</v>
      </c>
      <c r="E62">
        <v>1</v>
      </c>
      <c r="I62">
        <v>184</v>
      </c>
      <c r="Q62">
        <v>32400</v>
      </c>
    </row>
    <row r="63" spans="3:19" x14ac:dyDescent="0.25">
      <c r="C63" t="s">
        <v>3003</v>
      </c>
      <c r="E63">
        <v>62</v>
      </c>
      <c r="I63">
        <v>9510.6</v>
      </c>
      <c r="J63">
        <v>546</v>
      </c>
      <c r="K63">
        <v>82.6</v>
      </c>
      <c r="Q63">
        <v>3622854</v>
      </c>
      <c r="R63">
        <v>500</v>
      </c>
      <c r="S63">
        <v>4633.4310850439888</v>
      </c>
    </row>
    <row r="64" spans="3:19" x14ac:dyDescent="0.25">
      <c r="C64">
        <v>6</v>
      </c>
      <c r="D64" t="s">
        <v>249</v>
      </c>
      <c r="E64">
        <v>9</v>
      </c>
      <c r="I64">
        <v>1227.5</v>
      </c>
      <c r="J64">
        <v>127</v>
      </c>
      <c r="K64">
        <v>19</v>
      </c>
      <c r="Q64">
        <v>831953</v>
      </c>
      <c r="S64">
        <v>2133.4310850439883</v>
      </c>
    </row>
    <row r="65" spans="3:19" x14ac:dyDescent="0.25">
      <c r="C65">
        <v>6</v>
      </c>
      <c r="D65">
        <v>99</v>
      </c>
      <c r="S65">
        <v>2133.4310850439883</v>
      </c>
    </row>
    <row r="66" spans="3:19" x14ac:dyDescent="0.25">
      <c r="C66">
        <v>6</v>
      </c>
      <c r="D66">
        <v>101</v>
      </c>
      <c r="E66">
        <v>9</v>
      </c>
      <c r="I66">
        <v>1227.5</v>
      </c>
      <c r="J66">
        <v>127</v>
      </c>
      <c r="K66">
        <v>19</v>
      </c>
      <c r="Q66">
        <v>831953</v>
      </c>
    </row>
    <row r="67" spans="3:19" x14ac:dyDescent="0.25">
      <c r="C67">
        <v>6</v>
      </c>
      <c r="D67" t="s">
        <v>2997</v>
      </c>
      <c r="E67">
        <v>52</v>
      </c>
      <c r="I67">
        <v>6557.0599999999995</v>
      </c>
      <c r="J67">
        <v>784</v>
      </c>
      <c r="K67">
        <v>91.46</v>
      </c>
      <c r="O67">
        <v>12452</v>
      </c>
      <c r="P67">
        <v>12452</v>
      </c>
      <c r="Q67">
        <v>2819626</v>
      </c>
      <c r="S67">
        <v>2500</v>
      </c>
    </row>
    <row r="68" spans="3:19" x14ac:dyDescent="0.25">
      <c r="C68">
        <v>6</v>
      </c>
      <c r="D68">
        <v>303</v>
      </c>
      <c r="E68">
        <v>9.25</v>
      </c>
      <c r="I68">
        <v>1148.5</v>
      </c>
      <c r="J68">
        <v>126</v>
      </c>
      <c r="K68">
        <v>20</v>
      </c>
      <c r="Q68">
        <v>422356</v>
      </c>
      <c r="S68">
        <v>2500</v>
      </c>
    </row>
    <row r="69" spans="3:19" x14ac:dyDescent="0.25">
      <c r="C69">
        <v>6</v>
      </c>
      <c r="D69">
        <v>304</v>
      </c>
      <c r="E69">
        <v>25.5</v>
      </c>
      <c r="I69">
        <v>3141.04</v>
      </c>
      <c r="J69">
        <v>313</v>
      </c>
      <c r="K69">
        <v>55.98</v>
      </c>
      <c r="O69">
        <v>5464</v>
      </c>
      <c r="P69">
        <v>5464</v>
      </c>
      <c r="Q69">
        <v>1407096</v>
      </c>
    </row>
    <row r="70" spans="3:19" x14ac:dyDescent="0.25">
      <c r="C70">
        <v>6</v>
      </c>
      <c r="D70">
        <v>305</v>
      </c>
      <c r="E70">
        <v>11.25</v>
      </c>
      <c r="I70">
        <v>1517.52</v>
      </c>
      <c r="J70">
        <v>153</v>
      </c>
      <c r="K70">
        <v>15.48</v>
      </c>
      <c r="O70">
        <v>6988</v>
      </c>
      <c r="P70">
        <v>6988</v>
      </c>
      <c r="Q70">
        <v>722197</v>
      </c>
    </row>
    <row r="71" spans="3:19" x14ac:dyDescent="0.25">
      <c r="C71">
        <v>6</v>
      </c>
      <c r="D71">
        <v>636</v>
      </c>
      <c r="E71">
        <v>3</v>
      </c>
      <c r="I71">
        <v>384</v>
      </c>
      <c r="J71">
        <v>94</v>
      </c>
      <c r="Q71">
        <v>139950</v>
      </c>
    </row>
    <row r="72" spans="3:19" x14ac:dyDescent="0.25">
      <c r="C72">
        <v>6</v>
      </c>
      <c r="D72">
        <v>642</v>
      </c>
      <c r="E72">
        <v>3</v>
      </c>
      <c r="I72">
        <v>366</v>
      </c>
      <c r="J72">
        <v>98</v>
      </c>
      <c r="Q72">
        <v>128027</v>
      </c>
    </row>
    <row r="73" spans="3:19" x14ac:dyDescent="0.25">
      <c r="C73">
        <v>6</v>
      </c>
      <c r="D73" t="s">
        <v>2998</v>
      </c>
      <c r="E73">
        <v>1</v>
      </c>
      <c r="I73">
        <v>120</v>
      </c>
      <c r="Q73">
        <v>32029</v>
      </c>
    </row>
    <row r="74" spans="3:19" x14ac:dyDescent="0.25">
      <c r="C74">
        <v>6</v>
      </c>
      <c r="D74">
        <v>30</v>
      </c>
      <c r="E74">
        <v>1</v>
      </c>
      <c r="I74">
        <v>120</v>
      </c>
      <c r="Q74">
        <v>32029</v>
      </c>
    </row>
    <row r="75" spans="3:19" x14ac:dyDescent="0.25">
      <c r="C75" t="s">
        <v>3004</v>
      </c>
      <c r="E75">
        <v>62</v>
      </c>
      <c r="I75">
        <v>7904.5599999999995</v>
      </c>
      <c r="J75">
        <v>911</v>
      </c>
      <c r="K75">
        <v>110.46</v>
      </c>
      <c r="O75">
        <v>12452</v>
      </c>
      <c r="P75">
        <v>12452</v>
      </c>
      <c r="Q75">
        <v>3683608</v>
      </c>
      <c r="S75">
        <v>4633.4310850439888</v>
      </c>
    </row>
    <row r="76" spans="3:19" x14ac:dyDescent="0.25">
      <c r="C76">
        <v>7</v>
      </c>
      <c r="D76" t="s">
        <v>249</v>
      </c>
      <c r="E76">
        <v>9</v>
      </c>
      <c r="I76">
        <v>1133.25</v>
      </c>
      <c r="J76">
        <v>29</v>
      </c>
      <c r="K76">
        <v>11</v>
      </c>
      <c r="O76">
        <v>398924</v>
      </c>
      <c r="P76">
        <v>398924</v>
      </c>
      <c r="Q76">
        <v>1263260</v>
      </c>
      <c r="S76">
        <v>2133.4310850439883</v>
      </c>
    </row>
    <row r="77" spans="3:19" x14ac:dyDescent="0.25">
      <c r="C77">
        <v>7</v>
      </c>
      <c r="D77">
        <v>99</v>
      </c>
      <c r="S77">
        <v>2133.4310850439883</v>
      </c>
    </row>
    <row r="78" spans="3:19" x14ac:dyDescent="0.25">
      <c r="C78">
        <v>7</v>
      </c>
      <c r="D78">
        <v>101</v>
      </c>
      <c r="E78">
        <v>9</v>
      </c>
      <c r="I78">
        <v>1133.25</v>
      </c>
      <c r="J78">
        <v>29</v>
      </c>
      <c r="K78">
        <v>11</v>
      </c>
      <c r="O78">
        <v>398924</v>
      </c>
      <c r="P78">
        <v>398924</v>
      </c>
      <c r="Q78">
        <v>1263260</v>
      </c>
    </row>
    <row r="79" spans="3:19" x14ac:dyDescent="0.25">
      <c r="C79">
        <v>7</v>
      </c>
      <c r="D79" t="s">
        <v>2997</v>
      </c>
      <c r="E79">
        <v>51</v>
      </c>
      <c r="I79">
        <v>6479.6</v>
      </c>
      <c r="J79">
        <v>351</v>
      </c>
      <c r="K79">
        <v>57.25</v>
      </c>
      <c r="O79">
        <v>604501</v>
      </c>
      <c r="P79">
        <v>604501</v>
      </c>
      <c r="Q79">
        <v>3374515</v>
      </c>
      <c r="S79">
        <v>2500</v>
      </c>
    </row>
    <row r="80" spans="3:19" x14ac:dyDescent="0.25">
      <c r="C80">
        <v>7</v>
      </c>
      <c r="D80">
        <v>303</v>
      </c>
      <c r="E80">
        <v>9.25</v>
      </c>
      <c r="I80">
        <v>1217.6500000000001</v>
      </c>
      <c r="J80">
        <v>12</v>
      </c>
      <c r="K80">
        <v>20</v>
      </c>
      <c r="O80">
        <v>80441</v>
      </c>
      <c r="P80">
        <v>80441</v>
      </c>
      <c r="Q80">
        <v>493536</v>
      </c>
      <c r="S80">
        <v>2500</v>
      </c>
    </row>
    <row r="81" spans="3:19" x14ac:dyDescent="0.25">
      <c r="C81">
        <v>7</v>
      </c>
      <c r="D81">
        <v>304</v>
      </c>
      <c r="E81">
        <v>24.5</v>
      </c>
      <c r="I81">
        <v>2937.8</v>
      </c>
      <c r="J81">
        <v>138</v>
      </c>
      <c r="K81">
        <v>20.25</v>
      </c>
      <c r="O81">
        <v>290665</v>
      </c>
      <c r="P81">
        <v>290665</v>
      </c>
      <c r="Q81">
        <v>1706960</v>
      </c>
    </row>
    <row r="82" spans="3:19" x14ac:dyDescent="0.25">
      <c r="C82">
        <v>7</v>
      </c>
      <c r="D82">
        <v>305</v>
      </c>
      <c r="E82">
        <v>11.25</v>
      </c>
      <c r="I82">
        <v>1392.65</v>
      </c>
      <c r="J82">
        <v>81</v>
      </c>
      <c r="K82">
        <v>17</v>
      </c>
      <c r="O82">
        <v>170283</v>
      </c>
      <c r="P82">
        <v>170283</v>
      </c>
      <c r="Q82">
        <v>870039</v>
      </c>
    </row>
    <row r="83" spans="3:19" x14ac:dyDescent="0.25">
      <c r="C83">
        <v>7</v>
      </c>
      <c r="D83">
        <v>636</v>
      </c>
      <c r="E83">
        <v>3</v>
      </c>
      <c r="I83">
        <v>474</v>
      </c>
      <c r="J83">
        <v>60</v>
      </c>
      <c r="O83">
        <v>40059</v>
      </c>
      <c r="P83">
        <v>40059</v>
      </c>
      <c r="Q83">
        <v>158973</v>
      </c>
    </row>
    <row r="84" spans="3:19" x14ac:dyDescent="0.25">
      <c r="C84">
        <v>7</v>
      </c>
      <c r="D84">
        <v>642</v>
      </c>
      <c r="E84">
        <v>3</v>
      </c>
      <c r="I84">
        <v>457.5</v>
      </c>
      <c r="J84">
        <v>60</v>
      </c>
      <c r="O84">
        <v>23053</v>
      </c>
      <c r="P84">
        <v>23053</v>
      </c>
      <c r="Q84">
        <v>145007</v>
      </c>
    </row>
    <row r="85" spans="3:19" x14ac:dyDescent="0.25">
      <c r="C85">
        <v>7</v>
      </c>
      <c r="D85" t="s">
        <v>2998</v>
      </c>
      <c r="E85">
        <v>1</v>
      </c>
      <c r="I85">
        <v>144</v>
      </c>
      <c r="O85">
        <v>8784</v>
      </c>
      <c r="P85">
        <v>8784</v>
      </c>
      <c r="Q85">
        <v>41566</v>
      </c>
    </row>
    <row r="86" spans="3:19" x14ac:dyDescent="0.25">
      <c r="C86">
        <v>7</v>
      </c>
      <c r="D86">
        <v>30</v>
      </c>
      <c r="E86">
        <v>1</v>
      </c>
      <c r="I86">
        <v>144</v>
      </c>
      <c r="O86">
        <v>8784</v>
      </c>
      <c r="P86">
        <v>8784</v>
      </c>
      <c r="Q86">
        <v>41566</v>
      </c>
    </row>
    <row r="87" spans="3:19" x14ac:dyDescent="0.25">
      <c r="C87" t="s">
        <v>3005</v>
      </c>
      <c r="E87">
        <v>61</v>
      </c>
      <c r="I87">
        <v>7756.85</v>
      </c>
      <c r="J87">
        <v>380</v>
      </c>
      <c r="K87">
        <v>68.25</v>
      </c>
      <c r="O87">
        <v>1012209</v>
      </c>
      <c r="P87">
        <v>1012209</v>
      </c>
      <c r="Q87">
        <v>4679341</v>
      </c>
      <c r="S87">
        <v>4633.4310850439888</v>
      </c>
    </row>
    <row r="88" spans="3:19" x14ac:dyDescent="0.25">
      <c r="C88">
        <v>8</v>
      </c>
      <c r="D88" t="s">
        <v>249</v>
      </c>
      <c r="E88">
        <v>9</v>
      </c>
      <c r="I88">
        <v>1281</v>
      </c>
      <c r="J88">
        <v>99</v>
      </c>
      <c r="K88">
        <v>25</v>
      </c>
      <c r="Q88">
        <v>815451</v>
      </c>
      <c r="S88">
        <v>2133.4310850439883</v>
      </c>
    </row>
    <row r="89" spans="3:19" x14ac:dyDescent="0.25">
      <c r="C89">
        <v>8</v>
      </c>
      <c r="D89">
        <v>99</v>
      </c>
      <c r="S89">
        <v>2133.4310850439883</v>
      </c>
    </row>
    <row r="90" spans="3:19" x14ac:dyDescent="0.25">
      <c r="C90">
        <v>8</v>
      </c>
      <c r="D90">
        <v>101</v>
      </c>
      <c r="E90">
        <v>9</v>
      </c>
      <c r="I90">
        <v>1281</v>
      </c>
      <c r="J90">
        <v>99</v>
      </c>
      <c r="K90">
        <v>25</v>
      </c>
      <c r="Q90">
        <v>815451</v>
      </c>
    </row>
    <row r="91" spans="3:19" x14ac:dyDescent="0.25">
      <c r="C91">
        <v>8</v>
      </c>
      <c r="D91" t="s">
        <v>2997</v>
      </c>
      <c r="E91">
        <v>51</v>
      </c>
      <c r="I91">
        <v>6230.9400000000005</v>
      </c>
      <c r="J91">
        <v>317</v>
      </c>
      <c r="K91">
        <v>39.960000000000008</v>
      </c>
      <c r="O91">
        <v>28640</v>
      </c>
      <c r="P91">
        <v>28640</v>
      </c>
      <c r="Q91">
        <v>2591473</v>
      </c>
      <c r="S91">
        <v>2500</v>
      </c>
    </row>
    <row r="92" spans="3:19" x14ac:dyDescent="0.25">
      <c r="C92">
        <v>8</v>
      </c>
      <c r="D92">
        <v>303</v>
      </c>
      <c r="E92">
        <v>9.25</v>
      </c>
      <c r="I92">
        <v>1250.5</v>
      </c>
      <c r="J92">
        <v>38</v>
      </c>
      <c r="K92">
        <v>12</v>
      </c>
      <c r="O92">
        <v>7500</v>
      </c>
      <c r="P92">
        <v>7500</v>
      </c>
      <c r="Q92">
        <v>388692</v>
      </c>
      <c r="S92">
        <v>2500</v>
      </c>
    </row>
    <row r="93" spans="3:19" x14ac:dyDescent="0.25">
      <c r="C93">
        <v>8</v>
      </c>
      <c r="D93">
        <v>304</v>
      </c>
      <c r="E93">
        <v>24.5</v>
      </c>
      <c r="I93">
        <v>2809.54</v>
      </c>
      <c r="J93">
        <v>68</v>
      </c>
      <c r="K93">
        <v>20.23</v>
      </c>
      <c r="O93">
        <v>11140</v>
      </c>
      <c r="P93">
        <v>11140</v>
      </c>
      <c r="Q93">
        <v>1304691</v>
      </c>
    </row>
    <row r="94" spans="3:19" x14ac:dyDescent="0.25">
      <c r="C94">
        <v>8</v>
      </c>
      <c r="D94">
        <v>305</v>
      </c>
      <c r="E94">
        <v>11.25</v>
      </c>
      <c r="I94">
        <v>1462.9</v>
      </c>
      <c r="J94">
        <v>23</v>
      </c>
      <c r="K94">
        <v>7.73</v>
      </c>
      <c r="O94">
        <v>10000</v>
      </c>
      <c r="P94">
        <v>10000</v>
      </c>
      <c r="Q94">
        <v>623488</v>
      </c>
    </row>
    <row r="95" spans="3:19" x14ac:dyDescent="0.25">
      <c r="C95">
        <v>8</v>
      </c>
      <c r="D95">
        <v>636</v>
      </c>
      <c r="E95">
        <v>3</v>
      </c>
      <c r="I95">
        <v>319.5</v>
      </c>
      <c r="J95">
        <v>93</v>
      </c>
      <c r="Q95">
        <v>145970</v>
      </c>
    </row>
    <row r="96" spans="3:19" x14ac:dyDescent="0.25">
      <c r="C96">
        <v>8</v>
      </c>
      <c r="D96">
        <v>642</v>
      </c>
      <c r="E96">
        <v>3</v>
      </c>
      <c r="I96">
        <v>388.5</v>
      </c>
      <c r="J96">
        <v>95</v>
      </c>
      <c r="Q96">
        <v>128632</v>
      </c>
    </row>
    <row r="97" spans="3:19" x14ac:dyDescent="0.25">
      <c r="C97">
        <v>8</v>
      </c>
      <c r="D97" t="s">
        <v>2998</v>
      </c>
      <c r="E97">
        <v>1</v>
      </c>
      <c r="I97">
        <v>176</v>
      </c>
      <c r="Q97">
        <v>32400</v>
      </c>
    </row>
    <row r="98" spans="3:19" x14ac:dyDescent="0.25">
      <c r="C98">
        <v>8</v>
      </c>
      <c r="D98">
        <v>30</v>
      </c>
      <c r="E98">
        <v>1</v>
      </c>
      <c r="I98">
        <v>176</v>
      </c>
      <c r="Q98">
        <v>32400</v>
      </c>
    </row>
    <row r="99" spans="3:19" x14ac:dyDescent="0.25">
      <c r="C99" t="s">
        <v>3006</v>
      </c>
      <c r="E99">
        <v>61</v>
      </c>
      <c r="I99">
        <v>7687.9400000000005</v>
      </c>
      <c r="J99">
        <v>416</v>
      </c>
      <c r="K99">
        <v>64.960000000000008</v>
      </c>
      <c r="O99">
        <v>28640</v>
      </c>
      <c r="P99">
        <v>28640</v>
      </c>
      <c r="Q99">
        <v>3439324</v>
      </c>
      <c r="S99">
        <v>4633.4310850439888</v>
      </c>
    </row>
    <row r="100" spans="3:19" x14ac:dyDescent="0.25">
      <c r="C100">
        <v>9</v>
      </c>
      <c r="D100" t="s">
        <v>249</v>
      </c>
      <c r="E100">
        <v>9</v>
      </c>
      <c r="I100">
        <v>1341</v>
      </c>
      <c r="J100">
        <v>134</v>
      </c>
      <c r="K100">
        <v>9</v>
      </c>
      <c r="Q100">
        <v>843069</v>
      </c>
      <c r="S100">
        <v>2133.4310850439883</v>
      </c>
    </row>
    <row r="101" spans="3:19" x14ac:dyDescent="0.25">
      <c r="C101">
        <v>9</v>
      </c>
      <c r="D101">
        <v>99</v>
      </c>
      <c r="S101">
        <v>2133.4310850439883</v>
      </c>
    </row>
    <row r="102" spans="3:19" x14ac:dyDescent="0.25">
      <c r="C102">
        <v>9</v>
      </c>
      <c r="D102">
        <v>101</v>
      </c>
      <c r="E102">
        <v>9</v>
      </c>
      <c r="I102">
        <v>1341</v>
      </c>
      <c r="J102">
        <v>134</v>
      </c>
      <c r="K102">
        <v>9</v>
      </c>
      <c r="Q102">
        <v>843069</v>
      </c>
    </row>
    <row r="103" spans="3:19" x14ac:dyDescent="0.25">
      <c r="C103">
        <v>9</v>
      </c>
      <c r="D103" t="s">
        <v>2997</v>
      </c>
      <c r="E103">
        <v>53</v>
      </c>
      <c r="I103">
        <v>7140.6</v>
      </c>
      <c r="J103">
        <v>1076</v>
      </c>
      <c r="K103">
        <v>139.56</v>
      </c>
      <c r="Q103">
        <v>3105671</v>
      </c>
      <c r="S103">
        <v>2500</v>
      </c>
    </row>
    <row r="104" spans="3:19" x14ac:dyDescent="0.25">
      <c r="C104">
        <v>9</v>
      </c>
      <c r="D104">
        <v>303</v>
      </c>
      <c r="E104">
        <v>9.25</v>
      </c>
      <c r="I104">
        <v>1276.9000000000001</v>
      </c>
      <c r="J104">
        <v>217</v>
      </c>
      <c r="K104">
        <v>33</v>
      </c>
      <c r="Q104">
        <v>460979</v>
      </c>
      <c r="S104">
        <v>2500</v>
      </c>
    </row>
    <row r="105" spans="3:19" x14ac:dyDescent="0.25">
      <c r="C105">
        <v>9</v>
      </c>
      <c r="D105">
        <v>304</v>
      </c>
      <c r="E105">
        <v>25.5</v>
      </c>
      <c r="I105">
        <v>3350.3</v>
      </c>
      <c r="J105">
        <v>529</v>
      </c>
      <c r="K105">
        <v>73.31</v>
      </c>
      <c r="Q105">
        <v>1610272</v>
      </c>
    </row>
    <row r="106" spans="3:19" x14ac:dyDescent="0.25">
      <c r="C106">
        <v>9</v>
      </c>
      <c r="D106">
        <v>305</v>
      </c>
      <c r="E106">
        <v>11.25</v>
      </c>
      <c r="I106">
        <v>1478.4</v>
      </c>
      <c r="J106">
        <v>185</v>
      </c>
      <c r="K106">
        <v>33.25</v>
      </c>
      <c r="Q106">
        <v>745215</v>
      </c>
    </row>
    <row r="107" spans="3:19" x14ac:dyDescent="0.25">
      <c r="C107">
        <v>9</v>
      </c>
      <c r="D107">
        <v>636</v>
      </c>
      <c r="E107">
        <v>3</v>
      </c>
      <c r="I107">
        <v>448.5</v>
      </c>
      <c r="J107">
        <v>79</v>
      </c>
      <c r="Q107">
        <v>137274</v>
      </c>
    </row>
    <row r="108" spans="3:19" x14ac:dyDescent="0.25">
      <c r="C108">
        <v>9</v>
      </c>
      <c r="D108">
        <v>642</v>
      </c>
      <c r="E108">
        <v>4</v>
      </c>
      <c r="I108">
        <v>586.5</v>
      </c>
      <c r="J108">
        <v>66</v>
      </c>
      <c r="Q108">
        <v>151931</v>
      </c>
    </row>
    <row r="109" spans="3:19" x14ac:dyDescent="0.25">
      <c r="C109">
        <v>9</v>
      </c>
      <c r="D109" t="s">
        <v>2998</v>
      </c>
      <c r="E109">
        <v>1</v>
      </c>
      <c r="I109">
        <v>168</v>
      </c>
      <c r="Q109">
        <v>32400</v>
      </c>
    </row>
    <row r="110" spans="3:19" x14ac:dyDescent="0.25">
      <c r="C110">
        <v>9</v>
      </c>
      <c r="D110">
        <v>30</v>
      </c>
      <c r="E110">
        <v>1</v>
      </c>
      <c r="I110">
        <v>168</v>
      </c>
      <c r="Q110">
        <v>32400</v>
      </c>
    </row>
    <row r="111" spans="3:19" x14ac:dyDescent="0.25">
      <c r="C111" t="s">
        <v>3007</v>
      </c>
      <c r="E111">
        <v>63</v>
      </c>
      <c r="I111">
        <v>8649.6</v>
      </c>
      <c r="J111">
        <v>1210</v>
      </c>
      <c r="K111">
        <v>148.56</v>
      </c>
      <c r="Q111">
        <v>3981140</v>
      </c>
      <c r="S111">
        <v>4633.4310850439888</v>
      </c>
    </row>
    <row r="112" spans="3:19" x14ac:dyDescent="0.25">
      <c r="C112">
        <v>10</v>
      </c>
      <c r="D112" t="s">
        <v>249</v>
      </c>
      <c r="E112">
        <v>9.25</v>
      </c>
      <c r="I112">
        <v>1543.9</v>
      </c>
      <c r="J112">
        <v>101</v>
      </c>
      <c r="Q112">
        <v>839992</v>
      </c>
      <c r="S112">
        <v>2133.4310850439883</v>
      </c>
    </row>
    <row r="113" spans="3:19" x14ac:dyDescent="0.25">
      <c r="C113">
        <v>10</v>
      </c>
      <c r="D113">
        <v>99</v>
      </c>
      <c r="S113">
        <v>2133.4310850439883</v>
      </c>
    </row>
    <row r="114" spans="3:19" x14ac:dyDescent="0.25">
      <c r="C114">
        <v>10</v>
      </c>
      <c r="D114">
        <v>101</v>
      </c>
      <c r="E114">
        <v>9.25</v>
      </c>
      <c r="I114">
        <v>1543.9</v>
      </c>
      <c r="J114">
        <v>101</v>
      </c>
      <c r="Q114">
        <v>839992</v>
      </c>
    </row>
    <row r="115" spans="3:19" x14ac:dyDescent="0.25">
      <c r="C115">
        <v>10</v>
      </c>
      <c r="D115" t="s">
        <v>2997</v>
      </c>
      <c r="E115">
        <v>53</v>
      </c>
      <c r="I115">
        <v>8117.6</v>
      </c>
      <c r="J115">
        <v>401</v>
      </c>
      <c r="K115">
        <v>40.5</v>
      </c>
      <c r="O115">
        <v>5000</v>
      </c>
      <c r="P115">
        <v>5000</v>
      </c>
      <c r="Q115">
        <v>2724195</v>
      </c>
      <c r="S115">
        <v>2500</v>
      </c>
    </row>
    <row r="116" spans="3:19" x14ac:dyDescent="0.25">
      <c r="C116">
        <v>10</v>
      </c>
      <c r="D116">
        <v>303</v>
      </c>
      <c r="E116">
        <v>9.25</v>
      </c>
      <c r="I116">
        <v>1415.65</v>
      </c>
      <c r="J116">
        <v>43</v>
      </c>
      <c r="Q116">
        <v>402942</v>
      </c>
      <c r="S116">
        <v>2500</v>
      </c>
    </row>
    <row r="117" spans="3:19" x14ac:dyDescent="0.25">
      <c r="C117">
        <v>10</v>
      </c>
      <c r="D117">
        <v>304</v>
      </c>
      <c r="E117">
        <v>25.5</v>
      </c>
      <c r="I117">
        <v>3777.8</v>
      </c>
      <c r="J117">
        <v>177</v>
      </c>
      <c r="K117">
        <v>40.5</v>
      </c>
      <c r="O117">
        <v>5000</v>
      </c>
      <c r="P117">
        <v>5000</v>
      </c>
      <c r="Q117">
        <v>1372239</v>
      </c>
    </row>
    <row r="118" spans="3:19" x14ac:dyDescent="0.25">
      <c r="C118">
        <v>10</v>
      </c>
      <c r="D118">
        <v>305</v>
      </c>
      <c r="E118">
        <v>11.25</v>
      </c>
      <c r="I118">
        <v>1836.65</v>
      </c>
      <c r="J118">
        <v>91</v>
      </c>
      <c r="Q118">
        <v>676463</v>
      </c>
    </row>
    <row r="119" spans="3:19" x14ac:dyDescent="0.25">
      <c r="C119">
        <v>10</v>
      </c>
      <c r="D119">
        <v>636</v>
      </c>
      <c r="E119">
        <v>3</v>
      </c>
      <c r="I119">
        <v>481.5</v>
      </c>
      <c r="J119">
        <v>51</v>
      </c>
      <c r="Q119">
        <v>129772</v>
      </c>
    </row>
    <row r="120" spans="3:19" x14ac:dyDescent="0.25">
      <c r="C120">
        <v>10</v>
      </c>
      <c r="D120">
        <v>642</v>
      </c>
      <c r="E120">
        <v>4</v>
      </c>
      <c r="I120">
        <v>606</v>
      </c>
      <c r="J120">
        <v>39</v>
      </c>
      <c r="Q120">
        <v>142779</v>
      </c>
    </row>
    <row r="121" spans="3:19" x14ac:dyDescent="0.25">
      <c r="C121">
        <v>10</v>
      </c>
      <c r="D121" t="s">
        <v>2998</v>
      </c>
      <c r="E121">
        <v>1</v>
      </c>
      <c r="I121">
        <v>184</v>
      </c>
      <c r="Q121">
        <v>32400</v>
      </c>
    </row>
    <row r="122" spans="3:19" x14ac:dyDescent="0.25">
      <c r="C122">
        <v>10</v>
      </c>
      <c r="D122">
        <v>30</v>
      </c>
      <c r="E122">
        <v>1</v>
      </c>
      <c r="I122">
        <v>184</v>
      </c>
      <c r="Q122">
        <v>32400</v>
      </c>
    </row>
    <row r="123" spans="3:19" x14ac:dyDescent="0.25">
      <c r="C123" t="s">
        <v>3008</v>
      </c>
      <c r="E123">
        <v>63.25</v>
      </c>
      <c r="I123">
        <v>9845.5</v>
      </c>
      <c r="J123">
        <v>502</v>
      </c>
      <c r="K123">
        <v>40.5</v>
      </c>
      <c r="O123">
        <v>5000</v>
      </c>
      <c r="P123">
        <v>5000</v>
      </c>
      <c r="Q123">
        <v>3596587</v>
      </c>
      <c r="S123">
        <v>4633.4310850439888</v>
      </c>
    </row>
    <row r="124" spans="3:19" x14ac:dyDescent="0.25">
      <c r="C124">
        <v>11</v>
      </c>
      <c r="D124" t="s">
        <v>249</v>
      </c>
      <c r="E124">
        <v>9.25</v>
      </c>
      <c r="I124">
        <v>1368.9</v>
      </c>
      <c r="J124">
        <v>121</v>
      </c>
      <c r="K124">
        <v>2</v>
      </c>
      <c r="O124">
        <v>127140</v>
      </c>
      <c r="P124">
        <v>127140</v>
      </c>
      <c r="Q124">
        <v>1063177</v>
      </c>
      <c r="S124">
        <v>2133.4310850439883</v>
      </c>
    </row>
    <row r="125" spans="3:19" x14ac:dyDescent="0.25">
      <c r="C125">
        <v>11</v>
      </c>
      <c r="D125">
        <v>99</v>
      </c>
      <c r="S125">
        <v>2133.4310850439883</v>
      </c>
    </row>
    <row r="126" spans="3:19" x14ac:dyDescent="0.25">
      <c r="C126">
        <v>11</v>
      </c>
      <c r="D126">
        <v>101</v>
      </c>
      <c r="E126">
        <v>9.25</v>
      </c>
      <c r="I126">
        <v>1368.9</v>
      </c>
      <c r="J126">
        <v>121</v>
      </c>
      <c r="K126">
        <v>2</v>
      </c>
      <c r="O126">
        <v>127140</v>
      </c>
      <c r="P126">
        <v>127140</v>
      </c>
      <c r="Q126">
        <v>1063177</v>
      </c>
    </row>
    <row r="127" spans="3:19" x14ac:dyDescent="0.25">
      <c r="C127">
        <v>11</v>
      </c>
      <c r="D127" t="s">
        <v>2997</v>
      </c>
      <c r="E127">
        <v>53</v>
      </c>
      <c r="I127">
        <v>7457.6</v>
      </c>
      <c r="J127">
        <v>483.2</v>
      </c>
      <c r="K127">
        <v>40.5</v>
      </c>
      <c r="O127">
        <v>638964</v>
      </c>
      <c r="P127">
        <v>638964</v>
      </c>
      <c r="Q127">
        <v>3311592</v>
      </c>
      <c r="S127">
        <v>2500</v>
      </c>
    </row>
    <row r="128" spans="3:19" x14ac:dyDescent="0.25">
      <c r="C128">
        <v>11</v>
      </c>
      <c r="D128">
        <v>303</v>
      </c>
      <c r="E128">
        <v>8.25</v>
      </c>
      <c r="I128">
        <v>1203.4000000000001</v>
      </c>
      <c r="J128">
        <v>129</v>
      </c>
      <c r="K128">
        <v>16.5</v>
      </c>
      <c r="O128">
        <v>76201</v>
      </c>
      <c r="P128">
        <v>76201</v>
      </c>
      <c r="Q128">
        <v>472135</v>
      </c>
      <c r="S128">
        <v>2500</v>
      </c>
    </row>
    <row r="129" spans="3:19" x14ac:dyDescent="0.25">
      <c r="C129">
        <v>11</v>
      </c>
      <c r="D129">
        <v>304</v>
      </c>
      <c r="E129">
        <v>26.5</v>
      </c>
      <c r="I129">
        <v>3509.3</v>
      </c>
      <c r="J129">
        <v>231.5</v>
      </c>
      <c r="K129">
        <v>12</v>
      </c>
      <c r="O129">
        <v>320426</v>
      </c>
      <c r="P129">
        <v>320426</v>
      </c>
      <c r="Q129">
        <v>1690995</v>
      </c>
    </row>
    <row r="130" spans="3:19" x14ac:dyDescent="0.25">
      <c r="C130">
        <v>11</v>
      </c>
      <c r="D130">
        <v>305</v>
      </c>
      <c r="E130">
        <v>11.25</v>
      </c>
      <c r="I130">
        <v>1642.4</v>
      </c>
      <c r="J130">
        <v>98.7</v>
      </c>
      <c r="K130">
        <v>12</v>
      </c>
      <c r="O130">
        <v>182702</v>
      </c>
      <c r="P130">
        <v>182702</v>
      </c>
      <c r="Q130">
        <v>841955</v>
      </c>
    </row>
    <row r="131" spans="3:19" x14ac:dyDescent="0.25">
      <c r="C131">
        <v>11</v>
      </c>
      <c r="D131">
        <v>636</v>
      </c>
      <c r="E131">
        <v>3</v>
      </c>
      <c r="I131">
        <v>472.5</v>
      </c>
      <c r="J131">
        <v>24</v>
      </c>
      <c r="O131">
        <v>27823</v>
      </c>
      <c r="P131">
        <v>27823</v>
      </c>
      <c r="Q131">
        <v>142986</v>
      </c>
    </row>
    <row r="132" spans="3:19" x14ac:dyDescent="0.25">
      <c r="C132">
        <v>11</v>
      </c>
      <c r="D132">
        <v>642</v>
      </c>
      <c r="E132">
        <v>4</v>
      </c>
      <c r="I132">
        <v>630</v>
      </c>
      <c r="O132">
        <v>31812</v>
      </c>
      <c r="P132">
        <v>31812</v>
      </c>
      <c r="Q132">
        <v>163521</v>
      </c>
    </row>
    <row r="133" spans="3:19" x14ac:dyDescent="0.25">
      <c r="C133">
        <v>11</v>
      </c>
      <c r="D133" t="s">
        <v>2998</v>
      </c>
      <c r="E133">
        <v>1</v>
      </c>
      <c r="I133">
        <v>168</v>
      </c>
      <c r="O133">
        <v>8784</v>
      </c>
      <c r="P133">
        <v>8784</v>
      </c>
      <c r="Q133">
        <v>41184</v>
      </c>
    </row>
    <row r="134" spans="3:19" x14ac:dyDescent="0.25">
      <c r="C134">
        <v>11</v>
      </c>
      <c r="D134">
        <v>30</v>
      </c>
      <c r="E134">
        <v>1</v>
      </c>
      <c r="I134">
        <v>168</v>
      </c>
      <c r="O134">
        <v>8784</v>
      </c>
      <c r="P134">
        <v>8784</v>
      </c>
      <c r="Q134">
        <v>41184</v>
      </c>
    </row>
    <row r="135" spans="3:19" x14ac:dyDescent="0.25">
      <c r="C135" t="s">
        <v>3009</v>
      </c>
      <c r="E135">
        <v>63.25</v>
      </c>
      <c r="I135">
        <v>8994.5</v>
      </c>
      <c r="J135">
        <v>604.20000000000005</v>
      </c>
      <c r="K135">
        <v>42.5</v>
      </c>
      <c r="O135">
        <v>774888</v>
      </c>
      <c r="P135">
        <v>774888</v>
      </c>
      <c r="Q135">
        <v>4415953</v>
      </c>
      <c r="S135">
        <v>4633.4310850439888</v>
      </c>
    </row>
    <row r="136" spans="3:19" x14ac:dyDescent="0.25">
      <c r="C136">
        <v>12</v>
      </c>
      <c r="D136" t="s">
        <v>249</v>
      </c>
      <c r="E136">
        <v>9.25</v>
      </c>
      <c r="I136">
        <v>1351.5</v>
      </c>
      <c r="J136">
        <v>112.5</v>
      </c>
      <c r="K136">
        <v>3.08</v>
      </c>
      <c r="O136">
        <v>225049</v>
      </c>
      <c r="P136">
        <v>225049</v>
      </c>
      <c r="Q136">
        <v>1114236</v>
      </c>
      <c r="S136">
        <v>2133.4310850439883</v>
      </c>
    </row>
    <row r="137" spans="3:19" x14ac:dyDescent="0.25">
      <c r="C137">
        <v>12</v>
      </c>
      <c r="D137">
        <v>99</v>
      </c>
      <c r="S137">
        <v>2133.4310850439883</v>
      </c>
    </row>
    <row r="138" spans="3:19" x14ac:dyDescent="0.25">
      <c r="C138">
        <v>12</v>
      </c>
      <c r="D138">
        <v>101</v>
      </c>
      <c r="E138">
        <v>9.25</v>
      </c>
      <c r="I138">
        <v>1351.5</v>
      </c>
      <c r="J138">
        <v>112.5</v>
      </c>
      <c r="K138">
        <v>3.08</v>
      </c>
      <c r="O138">
        <v>225049</v>
      </c>
      <c r="P138">
        <v>225049</v>
      </c>
      <c r="Q138">
        <v>1114236</v>
      </c>
    </row>
    <row r="139" spans="3:19" x14ac:dyDescent="0.25">
      <c r="C139">
        <v>12</v>
      </c>
      <c r="D139" t="s">
        <v>2997</v>
      </c>
      <c r="E139">
        <v>52</v>
      </c>
      <c r="I139">
        <v>7345.08</v>
      </c>
      <c r="J139">
        <v>416</v>
      </c>
      <c r="K139">
        <v>106.41</v>
      </c>
      <c r="O139">
        <v>33868</v>
      </c>
      <c r="P139">
        <v>33868</v>
      </c>
      <c r="Q139">
        <v>2771579</v>
      </c>
      <c r="S139">
        <v>2500</v>
      </c>
    </row>
    <row r="140" spans="3:19" x14ac:dyDescent="0.25">
      <c r="C140">
        <v>12</v>
      </c>
      <c r="D140">
        <v>303</v>
      </c>
      <c r="E140">
        <v>8.25</v>
      </c>
      <c r="I140">
        <v>1301.27</v>
      </c>
      <c r="J140">
        <v>39</v>
      </c>
      <c r="K140">
        <v>13.95</v>
      </c>
      <c r="O140">
        <v>5414</v>
      </c>
      <c r="P140">
        <v>5414</v>
      </c>
      <c r="Q140">
        <v>381072</v>
      </c>
      <c r="S140">
        <v>2500</v>
      </c>
    </row>
    <row r="141" spans="3:19" x14ac:dyDescent="0.25">
      <c r="C141">
        <v>12</v>
      </c>
      <c r="D141">
        <v>304</v>
      </c>
      <c r="E141">
        <v>25.5</v>
      </c>
      <c r="I141">
        <v>3413.04</v>
      </c>
      <c r="J141">
        <v>201.5</v>
      </c>
      <c r="K141">
        <v>63.46</v>
      </c>
      <c r="O141">
        <v>17539</v>
      </c>
      <c r="P141">
        <v>17539</v>
      </c>
      <c r="Q141">
        <v>1395713</v>
      </c>
    </row>
    <row r="142" spans="3:19" x14ac:dyDescent="0.25">
      <c r="C142">
        <v>12</v>
      </c>
      <c r="D142">
        <v>305</v>
      </c>
      <c r="E142">
        <v>11.25</v>
      </c>
      <c r="I142">
        <v>1595.77</v>
      </c>
      <c r="J142">
        <v>84</v>
      </c>
      <c r="K142">
        <v>29</v>
      </c>
      <c r="O142">
        <v>10915</v>
      </c>
      <c r="P142">
        <v>10915</v>
      </c>
      <c r="Q142">
        <v>712130</v>
      </c>
    </row>
    <row r="143" spans="3:19" x14ac:dyDescent="0.25">
      <c r="C143">
        <v>12</v>
      </c>
      <c r="D143">
        <v>636</v>
      </c>
      <c r="E143">
        <v>3</v>
      </c>
      <c r="I143">
        <v>423</v>
      </c>
      <c r="J143">
        <v>43</v>
      </c>
      <c r="Q143">
        <v>134115</v>
      </c>
    </row>
    <row r="144" spans="3:19" x14ac:dyDescent="0.25">
      <c r="C144">
        <v>12</v>
      </c>
      <c r="D144">
        <v>642</v>
      </c>
      <c r="E144">
        <v>4</v>
      </c>
      <c r="I144">
        <v>612</v>
      </c>
      <c r="J144">
        <v>48.5</v>
      </c>
      <c r="Q144">
        <v>148549</v>
      </c>
    </row>
    <row r="145" spans="3:19" x14ac:dyDescent="0.25">
      <c r="C145">
        <v>12</v>
      </c>
      <c r="D145" t="s">
        <v>2998</v>
      </c>
      <c r="E145">
        <v>1</v>
      </c>
      <c r="I145">
        <v>120</v>
      </c>
      <c r="Q145">
        <v>32905</v>
      </c>
    </row>
    <row r="146" spans="3:19" x14ac:dyDescent="0.25">
      <c r="C146">
        <v>12</v>
      </c>
      <c r="D146">
        <v>30</v>
      </c>
      <c r="E146">
        <v>1</v>
      </c>
      <c r="I146">
        <v>120</v>
      </c>
      <c r="Q146">
        <v>32905</v>
      </c>
    </row>
    <row r="147" spans="3:19" x14ac:dyDescent="0.25">
      <c r="C147" t="s">
        <v>3010</v>
      </c>
      <c r="E147">
        <v>62.25</v>
      </c>
      <c r="I147">
        <v>8816.58</v>
      </c>
      <c r="J147">
        <v>528.5</v>
      </c>
      <c r="K147">
        <v>109.49000000000001</v>
      </c>
      <c r="O147">
        <v>258917</v>
      </c>
      <c r="P147">
        <v>258917</v>
      </c>
      <c r="Q147">
        <v>3918720</v>
      </c>
      <c r="S147">
        <v>4633.4310850439888</v>
      </c>
    </row>
  </sheetData>
  <hyperlinks>
    <hyperlink ref="A2" location="Obsah!A1" display="Zpět na Obsah  KL 01  1.-4.měsíc" xr:uid="{A16BBD65-B17F-4EEE-B97C-B472B60E51C0}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233" customWidth="1" collapsed="1"/>
    <col min="2" max="2" width="7.7109375" style="201" hidden="1" customWidth="1" outlineLevel="1"/>
    <col min="3" max="4" width="5.42578125" style="233" hidden="1" customWidth="1"/>
    <col min="5" max="5" width="7.7109375" style="201" customWidth="1"/>
    <col min="6" max="6" width="7.7109375" style="201" hidden="1" customWidth="1"/>
    <col min="7" max="7" width="5.42578125" style="233" hidden="1" customWidth="1"/>
    <col min="8" max="8" width="7.7109375" style="201" customWidth="1" collapsed="1"/>
    <col min="9" max="9" width="7.7109375" style="316" hidden="1" customWidth="1" outlineLevel="1"/>
    <col min="10" max="10" width="7.7109375" style="316" customWidth="1" collapsed="1"/>
    <col min="11" max="12" width="7.7109375" style="201" hidden="1" customWidth="1"/>
    <col min="13" max="13" width="5.42578125" style="233" hidden="1" customWidth="1"/>
    <col min="14" max="14" width="7.7109375" style="201" customWidth="1"/>
    <col min="15" max="15" width="7.7109375" style="201" hidden="1" customWidth="1"/>
    <col min="16" max="16" width="5.42578125" style="233" hidden="1" customWidth="1"/>
    <col min="17" max="17" width="7.7109375" style="201" customWidth="1" collapsed="1"/>
    <col min="18" max="18" width="7.7109375" style="316" hidden="1" customWidth="1" outlineLevel="1"/>
    <col min="19" max="19" width="7.7109375" style="316" customWidth="1" collapsed="1"/>
    <col min="20" max="21" width="7.7109375" style="201" hidden="1" customWidth="1"/>
    <col min="22" max="22" width="5" style="233" hidden="1" customWidth="1"/>
    <col min="23" max="23" width="7.7109375" style="201" customWidth="1"/>
    <col min="24" max="24" width="7.7109375" style="201" hidden="1" customWidth="1"/>
    <col min="25" max="25" width="5" style="233" hidden="1" customWidth="1"/>
    <col min="26" max="26" width="7.7109375" style="201" customWidth="1" collapsed="1"/>
    <col min="27" max="27" width="7.7109375" style="316" hidden="1" customWidth="1" outlineLevel="1"/>
    <col min="28" max="28" width="7.7109375" style="316" customWidth="1" collapsed="1"/>
    <col min="29" max="16384" width="8.85546875" style="233"/>
  </cols>
  <sheetData>
    <row r="1" spans="1:28" ht="18.600000000000001" customHeight="1" thickBot="1" x14ac:dyDescent="0.35">
      <c r="A1" s="587" t="s">
        <v>3022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492"/>
      <c r="P1" s="492"/>
      <c r="Q1" s="492"/>
      <c r="R1" s="492"/>
      <c r="S1" s="492"/>
      <c r="T1" s="492"/>
      <c r="U1" s="492"/>
      <c r="V1" s="492"/>
      <c r="W1" s="492"/>
      <c r="X1" s="492"/>
      <c r="Y1" s="492"/>
      <c r="Z1" s="492"/>
      <c r="AA1" s="492"/>
      <c r="AB1" s="492"/>
    </row>
    <row r="2" spans="1:28" ht="14.45" customHeight="1" thickBot="1" x14ac:dyDescent="0.25">
      <c r="A2" s="666" t="s">
        <v>305</v>
      </c>
      <c r="B2" s="206"/>
      <c r="C2" s="206"/>
      <c r="D2" s="206"/>
      <c r="E2" s="206"/>
      <c r="F2" s="206"/>
      <c r="G2" s="206"/>
      <c r="H2" s="206"/>
      <c r="I2" s="329"/>
      <c r="J2" s="329"/>
      <c r="K2" s="206"/>
      <c r="L2" s="206"/>
      <c r="M2" s="206"/>
      <c r="N2" s="206"/>
      <c r="O2" s="206"/>
      <c r="P2" s="206"/>
      <c r="Q2" s="206"/>
      <c r="R2" s="329"/>
      <c r="S2" s="329"/>
      <c r="T2" s="206"/>
      <c r="U2" s="206"/>
      <c r="V2" s="206"/>
      <c r="W2" s="206"/>
      <c r="X2" s="206"/>
      <c r="Y2" s="206"/>
      <c r="Z2" s="206"/>
      <c r="AA2" s="329"/>
      <c r="AB2" s="329"/>
    </row>
    <row r="3" spans="1:28" ht="14.45" customHeight="1" thickBot="1" x14ac:dyDescent="0.25">
      <c r="A3" s="322" t="s">
        <v>143</v>
      </c>
      <c r="B3" s="323">
        <f>SUBTOTAL(9,B6:B1048576)/4</f>
        <v>0</v>
      </c>
      <c r="C3" s="324">
        <f t="shared" ref="C3:Z3" si="0">SUBTOTAL(9,C6:C1048576)</f>
        <v>0</v>
      </c>
      <c r="D3" s="324"/>
      <c r="E3" s="324">
        <f>SUBTOTAL(9,E6:E1048576)/4</f>
        <v>0</v>
      </c>
      <c r="F3" s="324"/>
      <c r="G3" s="324">
        <f t="shared" si="0"/>
        <v>0</v>
      </c>
      <c r="H3" s="324">
        <f>SUBTOTAL(9,H6:H1048576)/4</f>
        <v>0</v>
      </c>
      <c r="I3" s="327" t="str">
        <f>IF(B3&lt;&gt;0,H3/B3,"")</f>
        <v/>
      </c>
      <c r="J3" s="325" t="str">
        <f>IF(E3&lt;&gt;0,H3/E3,"")</f>
        <v/>
      </c>
      <c r="K3" s="326">
        <f t="shared" si="0"/>
        <v>0</v>
      </c>
      <c r="L3" s="326"/>
      <c r="M3" s="324">
        <f t="shared" si="0"/>
        <v>0</v>
      </c>
      <c r="N3" s="324">
        <f t="shared" si="0"/>
        <v>0</v>
      </c>
      <c r="O3" s="324"/>
      <c r="P3" s="324">
        <f t="shared" si="0"/>
        <v>0</v>
      </c>
      <c r="Q3" s="324">
        <f t="shared" si="0"/>
        <v>0</v>
      </c>
      <c r="R3" s="327" t="str">
        <f>IF(K3&lt;&gt;0,Q3/K3,"")</f>
        <v/>
      </c>
      <c r="S3" s="327" t="str">
        <f>IF(N3&lt;&gt;0,Q3/N3,"")</f>
        <v/>
      </c>
      <c r="T3" s="323">
        <f t="shared" si="0"/>
        <v>0</v>
      </c>
      <c r="U3" s="326"/>
      <c r="V3" s="324">
        <f t="shared" si="0"/>
        <v>0</v>
      </c>
      <c r="W3" s="324">
        <f t="shared" si="0"/>
        <v>0</v>
      </c>
      <c r="X3" s="324"/>
      <c r="Y3" s="324">
        <f t="shared" si="0"/>
        <v>0</v>
      </c>
      <c r="Z3" s="324">
        <f t="shared" si="0"/>
        <v>0</v>
      </c>
      <c r="AA3" s="327" t="str">
        <f>IF(T3&lt;&gt;0,Z3/T3,"")</f>
        <v/>
      </c>
      <c r="AB3" s="325" t="str">
        <f>IF(W3&lt;&gt;0,Z3/W3,"")</f>
        <v/>
      </c>
    </row>
    <row r="4" spans="1:28" ht="14.45" customHeight="1" x14ac:dyDescent="0.2">
      <c r="A4" s="588" t="s">
        <v>232</v>
      </c>
      <c r="B4" s="589" t="s">
        <v>109</v>
      </c>
      <c r="C4" s="590"/>
      <c r="D4" s="591"/>
      <c r="E4" s="590"/>
      <c r="F4" s="591"/>
      <c r="G4" s="590"/>
      <c r="H4" s="590"/>
      <c r="I4" s="591"/>
      <c r="J4" s="592"/>
      <c r="K4" s="589" t="s">
        <v>110</v>
      </c>
      <c r="L4" s="591"/>
      <c r="M4" s="590"/>
      <c r="N4" s="590"/>
      <c r="O4" s="591"/>
      <c r="P4" s="590"/>
      <c r="Q4" s="590"/>
      <c r="R4" s="591"/>
      <c r="S4" s="592"/>
      <c r="T4" s="589" t="s">
        <v>111</v>
      </c>
      <c r="U4" s="591"/>
      <c r="V4" s="590"/>
      <c r="W4" s="590"/>
      <c r="X4" s="591"/>
      <c r="Y4" s="590"/>
      <c r="Z4" s="590"/>
      <c r="AA4" s="591"/>
      <c r="AB4" s="592"/>
    </row>
    <row r="5" spans="1:28" ht="14.45" customHeight="1" thickBot="1" x14ac:dyDescent="0.25">
      <c r="A5" s="771"/>
      <c r="B5" s="772">
        <v>2015</v>
      </c>
      <c r="C5" s="773"/>
      <c r="D5" s="773"/>
      <c r="E5" s="773">
        <v>2018</v>
      </c>
      <c r="F5" s="773"/>
      <c r="G5" s="773"/>
      <c r="H5" s="773">
        <v>2019</v>
      </c>
      <c r="I5" s="774" t="s">
        <v>234</v>
      </c>
      <c r="J5" s="775" t="s">
        <v>2</v>
      </c>
      <c r="K5" s="772">
        <v>2015</v>
      </c>
      <c r="L5" s="773"/>
      <c r="M5" s="773"/>
      <c r="N5" s="773">
        <v>2018</v>
      </c>
      <c r="O5" s="773"/>
      <c r="P5" s="773"/>
      <c r="Q5" s="773">
        <v>2019</v>
      </c>
      <c r="R5" s="774" t="s">
        <v>234</v>
      </c>
      <c r="S5" s="775" t="s">
        <v>2</v>
      </c>
      <c r="T5" s="772">
        <v>2015</v>
      </c>
      <c r="U5" s="773"/>
      <c r="V5" s="773"/>
      <c r="W5" s="773">
        <v>2018</v>
      </c>
      <c r="X5" s="773"/>
      <c r="Y5" s="773"/>
      <c r="Z5" s="773">
        <v>2019</v>
      </c>
      <c r="AA5" s="774" t="s">
        <v>234</v>
      </c>
      <c r="AB5" s="775" t="s">
        <v>2</v>
      </c>
    </row>
    <row r="6" spans="1:28" ht="14.45" customHeight="1" x14ac:dyDescent="0.25">
      <c r="A6" s="776" t="s">
        <v>3020</v>
      </c>
      <c r="B6" s="777"/>
      <c r="C6" s="778"/>
      <c r="D6" s="778"/>
      <c r="E6" s="777"/>
      <c r="F6" s="778"/>
      <c r="G6" s="778"/>
      <c r="H6" s="777">
        <v>0</v>
      </c>
      <c r="I6" s="778"/>
      <c r="J6" s="778"/>
      <c r="K6" s="777"/>
      <c r="L6" s="778"/>
      <c r="M6" s="778"/>
      <c r="N6" s="777"/>
      <c r="O6" s="778"/>
      <c r="P6" s="778"/>
      <c r="Q6" s="777"/>
      <c r="R6" s="778"/>
      <c r="S6" s="778"/>
      <c r="T6" s="777"/>
      <c r="U6" s="778"/>
      <c r="V6" s="778"/>
      <c r="W6" s="777"/>
      <c r="X6" s="778"/>
      <c r="Y6" s="778"/>
      <c r="Z6" s="777"/>
      <c r="AA6" s="778"/>
      <c r="AB6" s="779"/>
    </row>
    <row r="7" spans="1:28" ht="14.45" customHeight="1" thickBot="1" x14ac:dyDescent="0.3">
      <c r="A7" s="783" t="s">
        <v>3021</v>
      </c>
      <c r="B7" s="780"/>
      <c r="C7" s="781"/>
      <c r="D7" s="781"/>
      <c r="E7" s="780"/>
      <c r="F7" s="781"/>
      <c r="G7" s="781"/>
      <c r="H7" s="780">
        <v>0</v>
      </c>
      <c r="I7" s="781"/>
      <c r="J7" s="781"/>
      <c r="K7" s="780"/>
      <c r="L7" s="781"/>
      <c r="M7" s="781"/>
      <c r="N7" s="780"/>
      <c r="O7" s="781"/>
      <c r="P7" s="781"/>
      <c r="Q7" s="780"/>
      <c r="R7" s="781"/>
      <c r="S7" s="781"/>
      <c r="T7" s="780"/>
      <c r="U7" s="781"/>
      <c r="V7" s="781"/>
      <c r="W7" s="780"/>
      <c r="X7" s="781"/>
      <c r="Y7" s="781"/>
      <c r="Z7" s="780"/>
      <c r="AA7" s="781"/>
      <c r="AB7" s="782"/>
    </row>
    <row r="8" spans="1:28" ht="14.45" customHeight="1" thickBot="1" x14ac:dyDescent="0.25"/>
    <row r="9" spans="1:28" ht="14.45" customHeight="1" x14ac:dyDescent="0.25">
      <c r="A9" s="776" t="s">
        <v>531</v>
      </c>
      <c r="B9" s="777"/>
      <c r="C9" s="778"/>
      <c r="D9" s="778"/>
      <c r="E9" s="777"/>
      <c r="F9" s="778"/>
      <c r="G9" s="778"/>
      <c r="H9" s="777">
        <v>0</v>
      </c>
      <c r="I9" s="778"/>
      <c r="J9" s="779"/>
    </row>
    <row r="10" spans="1:28" ht="14.45" customHeight="1" thickBot="1" x14ac:dyDescent="0.3">
      <c r="A10" s="783" t="s">
        <v>3023</v>
      </c>
      <c r="B10" s="780"/>
      <c r="C10" s="781"/>
      <c r="D10" s="781"/>
      <c r="E10" s="780"/>
      <c r="F10" s="781"/>
      <c r="G10" s="781"/>
      <c r="H10" s="780">
        <v>0</v>
      </c>
      <c r="I10" s="781"/>
      <c r="J10" s="782"/>
    </row>
    <row r="11" spans="1:28" ht="14.45" customHeight="1" x14ac:dyDescent="0.2">
      <c r="A11" s="784" t="s">
        <v>278</v>
      </c>
    </row>
    <row r="12" spans="1:28" ht="14.45" customHeight="1" x14ac:dyDescent="0.2">
      <c r="A12" s="785" t="s">
        <v>3024</v>
      </c>
    </row>
    <row r="13" spans="1:28" ht="14.45" customHeight="1" x14ac:dyDescent="0.2">
      <c r="A13" s="784" t="s">
        <v>3025</v>
      </c>
    </row>
    <row r="14" spans="1:28" ht="14.45" customHeight="1" x14ac:dyDescent="0.2">
      <c r="A14" s="784" t="s">
        <v>3026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 xr:uid="{D4BD3739-B61D-46B3-BA08-41960D818130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233" bestFit="1" customWidth="1"/>
    <col min="2" max="2" width="7.7109375" style="313" hidden="1" customWidth="1" outlineLevel="1"/>
    <col min="3" max="3" width="7.7109375" style="313" customWidth="1" collapsed="1"/>
    <col min="4" max="4" width="7.7109375" style="313" customWidth="1"/>
    <col min="5" max="5" width="7.7109375" style="201" hidden="1" customWidth="1" outlineLevel="1"/>
    <col min="6" max="6" width="7.7109375" style="201" customWidth="1" collapsed="1"/>
    <col min="7" max="7" width="7.7109375" style="201" customWidth="1"/>
    <col min="8" max="16384" width="8.85546875" style="233"/>
  </cols>
  <sheetData>
    <row r="1" spans="1:7" ht="18.600000000000001" customHeight="1" thickBot="1" x14ac:dyDescent="0.35">
      <c r="A1" s="587" t="s">
        <v>3027</v>
      </c>
      <c r="B1" s="492"/>
      <c r="C1" s="492"/>
      <c r="D1" s="492"/>
      <c r="E1" s="492"/>
      <c r="F1" s="492"/>
      <c r="G1" s="492"/>
    </row>
    <row r="2" spans="1:7" ht="14.45" customHeight="1" thickBot="1" x14ac:dyDescent="0.25">
      <c r="A2" s="666" t="s">
        <v>305</v>
      </c>
      <c r="B2" s="206"/>
      <c r="C2" s="206"/>
      <c r="D2" s="206"/>
      <c r="E2" s="206"/>
      <c r="F2" s="206"/>
      <c r="G2" s="206"/>
    </row>
    <row r="3" spans="1:7" ht="14.45" customHeight="1" thickBot="1" x14ac:dyDescent="0.25">
      <c r="A3" s="419" t="s">
        <v>143</v>
      </c>
      <c r="B3" s="383">
        <f t="shared" ref="B3:G3" si="0">SUBTOTAL(9,B6:B1048576)</f>
        <v>0</v>
      </c>
      <c r="C3" s="384">
        <f t="shared" si="0"/>
        <v>0</v>
      </c>
      <c r="D3" s="418">
        <f t="shared" si="0"/>
        <v>0</v>
      </c>
      <c r="E3" s="326">
        <f t="shared" si="0"/>
        <v>0</v>
      </c>
      <c r="F3" s="324">
        <f t="shared" si="0"/>
        <v>0</v>
      </c>
      <c r="G3" s="385">
        <f t="shared" si="0"/>
        <v>0</v>
      </c>
    </row>
    <row r="4" spans="1:7" ht="14.45" customHeight="1" x14ac:dyDescent="0.2">
      <c r="A4" s="588" t="s">
        <v>151</v>
      </c>
      <c r="B4" s="593" t="s">
        <v>230</v>
      </c>
      <c r="C4" s="591"/>
      <c r="D4" s="594"/>
      <c r="E4" s="593" t="s">
        <v>109</v>
      </c>
      <c r="F4" s="591"/>
      <c r="G4" s="594"/>
    </row>
    <row r="5" spans="1:7" ht="14.45" customHeight="1" thickBot="1" x14ac:dyDescent="0.25">
      <c r="A5" s="771"/>
      <c r="B5" s="772">
        <v>2015</v>
      </c>
      <c r="C5" s="773">
        <v>2018</v>
      </c>
      <c r="D5" s="786">
        <v>2019</v>
      </c>
      <c r="E5" s="772">
        <v>2015</v>
      </c>
      <c r="F5" s="773">
        <v>2018</v>
      </c>
      <c r="G5" s="786">
        <v>2019</v>
      </c>
    </row>
    <row r="6" spans="1:7" ht="14.45" customHeight="1" thickBot="1" x14ac:dyDescent="0.25">
      <c r="A6" s="789" t="s">
        <v>3023</v>
      </c>
      <c r="B6" s="737"/>
      <c r="C6" s="737"/>
      <c r="D6" s="737">
        <v>0</v>
      </c>
      <c r="E6" s="787"/>
      <c r="F6" s="787"/>
      <c r="G6" s="788">
        <v>0</v>
      </c>
    </row>
    <row r="7" spans="1:7" ht="14.45" customHeight="1" x14ac:dyDescent="0.2">
      <c r="A7" s="784" t="s">
        <v>278</v>
      </c>
    </row>
    <row r="8" spans="1:7" ht="14.45" customHeight="1" x14ac:dyDescent="0.2">
      <c r="A8" s="785" t="s">
        <v>3024</v>
      </c>
    </row>
    <row r="9" spans="1:7" ht="14.45" customHeight="1" x14ac:dyDescent="0.2">
      <c r="A9" s="784" t="s">
        <v>3025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4B254595-ACD1-4C45-922D-19AA8646D934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6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233" customWidth="1"/>
    <col min="2" max="2" width="8.7109375" style="233" bestFit="1" customWidth="1"/>
    <col min="3" max="3" width="6.140625" style="233" customWidth="1"/>
    <col min="4" max="4" width="2.140625" style="233" bestFit="1" customWidth="1"/>
    <col min="5" max="5" width="8" style="233" customWidth="1"/>
    <col min="6" max="6" width="50.85546875" style="233" bestFit="1" customWidth="1" collapsed="1"/>
    <col min="7" max="8" width="11.140625" style="313" hidden="1" customWidth="1" outlineLevel="1"/>
    <col min="9" max="10" width="9.28515625" style="233" hidden="1" customWidth="1"/>
    <col min="11" max="12" width="11.140625" style="313" customWidth="1"/>
    <col min="13" max="14" width="9.28515625" style="233" hidden="1" customWidth="1"/>
    <col min="15" max="16" width="11.140625" style="313" customWidth="1"/>
    <col min="17" max="17" width="11.140625" style="316" customWidth="1"/>
    <col min="18" max="18" width="11.140625" style="313" customWidth="1"/>
    <col min="19" max="16384" width="8.85546875" style="233"/>
  </cols>
  <sheetData>
    <row r="1" spans="1:18" ht="18.600000000000001" customHeight="1" thickBot="1" x14ac:dyDescent="0.35">
      <c r="A1" s="492" t="s">
        <v>3032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524"/>
      <c r="P1" s="524"/>
      <c r="Q1" s="524"/>
      <c r="R1" s="524"/>
    </row>
    <row r="2" spans="1:18" ht="14.45" customHeight="1" thickBot="1" x14ac:dyDescent="0.25">
      <c r="A2" s="666" t="s">
        <v>305</v>
      </c>
      <c r="B2" s="303"/>
      <c r="C2" s="303"/>
      <c r="D2" s="206"/>
      <c r="E2" s="206"/>
      <c r="F2" s="206"/>
      <c r="G2" s="332"/>
      <c r="H2" s="332"/>
      <c r="I2" s="206"/>
      <c r="J2" s="206"/>
      <c r="K2" s="332"/>
      <c r="L2" s="332"/>
      <c r="M2" s="206"/>
      <c r="N2" s="206"/>
      <c r="O2" s="332"/>
      <c r="P2" s="332"/>
      <c r="Q2" s="329"/>
      <c r="R2" s="332"/>
    </row>
    <row r="3" spans="1:18" ht="14.45" customHeight="1" thickBot="1" x14ac:dyDescent="0.25">
      <c r="F3" s="98" t="s">
        <v>143</v>
      </c>
      <c r="G3" s="193">
        <f t="shared" ref="G3:P3" si="0">SUBTOTAL(9,G6:G1048576)</f>
        <v>0</v>
      </c>
      <c r="H3" s="194">
        <f t="shared" si="0"/>
        <v>0</v>
      </c>
      <c r="I3" s="70"/>
      <c r="J3" s="70"/>
      <c r="K3" s="194">
        <f t="shared" si="0"/>
        <v>0</v>
      </c>
      <c r="L3" s="194">
        <f t="shared" si="0"/>
        <v>0</v>
      </c>
      <c r="M3" s="70"/>
      <c r="N3" s="70"/>
      <c r="O3" s="194">
        <f t="shared" si="0"/>
        <v>0</v>
      </c>
      <c r="P3" s="194">
        <f t="shared" si="0"/>
        <v>0</v>
      </c>
      <c r="Q3" s="71">
        <f>IF(L3=0,0,P3/L3)</f>
        <v>0</v>
      </c>
      <c r="R3" s="195">
        <f>IF(O3=0,0,P3/O3)</f>
        <v>0</v>
      </c>
    </row>
    <row r="4" spans="1:18" ht="14.45" customHeight="1" x14ac:dyDescent="0.2">
      <c r="A4" s="595" t="s">
        <v>238</v>
      </c>
      <c r="B4" s="595" t="s">
        <v>105</v>
      </c>
      <c r="C4" s="603" t="s">
        <v>0</v>
      </c>
      <c r="D4" s="597" t="s">
        <v>106</v>
      </c>
      <c r="E4" s="602" t="s">
        <v>76</v>
      </c>
      <c r="F4" s="598" t="s">
        <v>67</v>
      </c>
      <c r="G4" s="599">
        <v>2015</v>
      </c>
      <c r="H4" s="600"/>
      <c r="I4" s="192"/>
      <c r="J4" s="192"/>
      <c r="K4" s="599">
        <v>2018</v>
      </c>
      <c r="L4" s="600"/>
      <c r="M4" s="192"/>
      <c r="N4" s="192"/>
      <c r="O4" s="599">
        <v>2019</v>
      </c>
      <c r="P4" s="600"/>
      <c r="Q4" s="601" t="s">
        <v>2</v>
      </c>
      <c r="R4" s="596" t="s">
        <v>108</v>
      </c>
    </row>
    <row r="5" spans="1:18" ht="14.45" customHeight="1" thickBot="1" x14ac:dyDescent="0.25">
      <c r="A5" s="790"/>
      <c r="B5" s="790"/>
      <c r="C5" s="791"/>
      <c r="D5" s="792"/>
      <c r="E5" s="793"/>
      <c r="F5" s="794"/>
      <c r="G5" s="795" t="s">
        <v>77</v>
      </c>
      <c r="H5" s="796" t="s">
        <v>14</v>
      </c>
      <c r="I5" s="797"/>
      <c r="J5" s="797"/>
      <c r="K5" s="795" t="s">
        <v>77</v>
      </c>
      <c r="L5" s="796" t="s">
        <v>14</v>
      </c>
      <c r="M5" s="797"/>
      <c r="N5" s="797"/>
      <c r="O5" s="795" t="s">
        <v>77</v>
      </c>
      <c r="P5" s="796" t="s">
        <v>14</v>
      </c>
      <c r="Q5" s="798"/>
      <c r="R5" s="799"/>
    </row>
    <row r="6" spans="1:18" ht="14.45" customHeight="1" thickBot="1" x14ac:dyDescent="0.25">
      <c r="A6" s="736"/>
      <c r="B6" s="800" t="s">
        <v>3028</v>
      </c>
      <c r="C6" s="800" t="s">
        <v>531</v>
      </c>
      <c r="D6" s="800" t="s">
        <v>3029</v>
      </c>
      <c r="E6" s="800" t="s">
        <v>3030</v>
      </c>
      <c r="F6" s="800" t="s">
        <v>3031</v>
      </c>
      <c r="G6" s="737"/>
      <c r="H6" s="737"/>
      <c r="I6" s="800"/>
      <c r="J6" s="800"/>
      <c r="K6" s="737"/>
      <c r="L6" s="737"/>
      <c r="M6" s="800"/>
      <c r="N6" s="800"/>
      <c r="O6" s="737">
        <v>0</v>
      </c>
      <c r="P6" s="737">
        <v>0</v>
      </c>
      <c r="Q6" s="372"/>
      <c r="R6" s="738"/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4C2DFA3D-57F2-44BE-A8D8-174B3B1F6285}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6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233" customWidth="1"/>
    <col min="2" max="2" width="8.7109375" style="233" bestFit="1" customWidth="1"/>
    <col min="3" max="3" width="6.140625" style="233" customWidth="1"/>
    <col min="4" max="4" width="27.7109375" style="233" customWidth="1"/>
    <col min="5" max="5" width="2.140625" style="233" bestFit="1" customWidth="1"/>
    <col min="6" max="6" width="8" style="233" customWidth="1"/>
    <col min="7" max="7" width="50.85546875" style="233" bestFit="1" customWidth="1" collapsed="1"/>
    <col min="8" max="9" width="11.140625" style="313" hidden="1" customWidth="1" outlineLevel="1"/>
    <col min="10" max="11" width="9.28515625" style="233" hidden="1" customWidth="1"/>
    <col min="12" max="13" width="11.140625" style="313" customWidth="1"/>
    <col min="14" max="15" width="9.28515625" style="233" hidden="1" customWidth="1"/>
    <col min="16" max="17" width="11.140625" style="313" customWidth="1"/>
    <col min="18" max="18" width="11.140625" style="316" customWidth="1"/>
    <col min="19" max="19" width="11.140625" style="313" customWidth="1"/>
    <col min="20" max="16384" width="8.85546875" style="233"/>
  </cols>
  <sheetData>
    <row r="1" spans="1:19" ht="18.600000000000001" customHeight="1" thickBot="1" x14ac:dyDescent="0.35">
      <c r="A1" s="492" t="s">
        <v>3033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524"/>
      <c r="P1" s="524"/>
      <c r="Q1" s="524"/>
      <c r="R1" s="524"/>
      <c r="S1" s="524"/>
    </row>
    <row r="2" spans="1:19" ht="14.45" customHeight="1" thickBot="1" x14ac:dyDescent="0.25">
      <c r="A2" s="666" t="s">
        <v>305</v>
      </c>
      <c r="B2" s="303"/>
      <c r="C2" s="303"/>
      <c r="D2" s="303"/>
      <c r="E2" s="206"/>
      <c r="F2" s="206"/>
      <c r="G2" s="206"/>
      <c r="H2" s="332"/>
      <c r="I2" s="332"/>
      <c r="J2" s="206"/>
      <c r="K2" s="206"/>
      <c r="L2" s="332"/>
      <c r="M2" s="332"/>
      <c r="N2" s="206"/>
      <c r="O2" s="206"/>
      <c r="P2" s="332"/>
      <c r="Q2" s="332"/>
      <c r="R2" s="329"/>
      <c r="S2" s="332"/>
    </row>
    <row r="3" spans="1:19" ht="14.45" customHeight="1" thickBot="1" x14ac:dyDescent="0.25">
      <c r="G3" s="98" t="s">
        <v>143</v>
      </c>
      <c r="H3" s="193">
        <f t="shared" ref="H3:Q3" si="0">SUBTOTAL(9,H6:H1048576)</f>
        <v>0</v>
      </c>
      <c r="I3" s="194">
        <f t="shared" si="0"/>
        <v>0</v>
      </c>
      <c r="J3" s="70"/>
      <c r="K3" s="70"/>
      <c r="L3" s="194">
        <f t="shared" si="0"/>
        <v>0</v>
      </c>
      <c r="M3" s="194">
        <f t="shared" si="0"/>
        <v>0</v>
      </c>
      <c r="N3" s="70"/>
      <c r="O3" s="70"/>
      <c r="P3" s="194">
        <f t="shared" si="0"/>
        <v>0</v>
      </c>
      <c r="Q3" s="194">
        <f t="shared" si="0"/>
        <v>0</v>
      </c>
      <c r="R3" s="71">
        <f>IF(M3=0,0,Q3/M3)</f>
        <v>0</v>
      </c>
      <c r="S3" s="195">
        <f>IF(P3=0,0,Q3/P3)</f>
        <v>0</v>
      </c>
    </row>
    <row r="4" spans="1:19" ht="14.45" customHeight="1" x14ac:dyDescent="0.2">
      <c r="A4" s="595" t="s">
        <v>238</v>
      </c>
      <c r="B4" s="595" t="s">
        <v>105</v>
      </c>
      <c r="C4" s="603" t="s">
        <v>0</v>
      </c>
      <c r="D4" s="411" t="s">
        <v>151</v>
      </c>
      <c r="E4" s="597" t="s">
        <v>106</v>
      </c>
      <c r="F4" s="602" t="s">
        <v>76</v>
      </c>
      <c r="G4" s="598" t="s">
        <v>67</v>
      </c>
      <c r="H4" s="599">
        <v>2015</v>
      </c>
      <c r="I4" s="600"/>
      <c r="J4" s="192"/>
      <c r="K4" s="192"/>
      <c r="L4" s="599">
        <v>2018</v>
      </c>
      <c r="M4" s="600"/>
      <c r="N4" s="192"/>
      <c r="O4" s="192"/>
      <c r="P4" s="599">
        <v>2019</v>
      </c>
      <c r="Q4" s="600"/>
      <c r="R4" s="601" t="s">
        <v>2</v>
      </c>
      <c r="S4" s="596" t="s">
        <v>108</v>
      </c>
    </row>
    <row r="5" spans="1:19" ht="14.45" customHeight="1" thickBot="1" x14ac:dyDescent="0.25">
      <c r="A5" s="790"/>
      <c r="B5" s="790"/>
      <c r="C5" s="791"/>
      <c r="D5" s="801"/>
      <c r="E5" s="792"/>
      <c r="F5" s="793"/>
      <c r="G5" s="794"/>
      <c r="H5" s="795" t="s">
        <v>77</v>
      </c>
      <c r="I5" s="796" t="s">
        <v>14</v>
      </c>
      <c r="J5" s="797"/>
      <c r="K5" s="797"/>
      <c r="L5" s="795" t="s">
        <v>77</v>
      </c>
      <c r="M5" s="796" t="s">
        <v>14</v>
      </c>
      <c r="N5" s="797"/>
      <c r="O5" s="797"/>
      <c r="P5" s="795" t="s">
        <v>77</v>
      </c>
      <c r="Q5" s="796" t="s">
        <v>14</v>
      </c>
      <c r="R5" s="798"/>
      <c r="S5" s="799"/>
    </row>
    <row r="6" spans="1:19" ht="14.45" customHeight="1" thickBot="1" x14ac:dyDescent="0.25">
      <c r="A6" s="736"/>
      <c r="B6" s="800" t="s">
        <v>3028</v>
      </c>
      <c r="C6" s="800" t="s">
        <v>531</v>
      </c>
      <c r="D6" s="800" t="s">
        <v>3023</v>
      </c>
      <c r="E6" s="800" t="s">
        <v>3029</v>
      </c>
      <c r="F6" s="800" t="s">
        <v>3030</v>
      </c>
      <c r="G6" s="800" t="s">
        <v>3031</v>
      </c>
      <c r="H6" s="737"/>
      <c r="I6" s="737"/>
      <c r="J6" s="800"/>
      <c r="K6" s="800"/>
      <c r="L6" s="737"/>
      <c r="M6" s="737"/>
      <c r="N6" s="800"/>
      <c r="O6" s="800"/>
      <c r="P6" s="737">
        <v>0</v>
      </c>
      <c r="Q6" s="737">
        <v>0</v>
      </c>
      <c r="R6" s="372"/>
      <c r="S6" s="738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455B5076-0A4D-418E-8B0B-4BB64F7BBBA5}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3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254" bestFit="1" customWidth="1"/>
    <col min="2" max="2" width="11.7109375" style="254" hidden="1" customWidth="1"/>
    <col min="3" max="4" width="11" style="256" customWidth="1"/>
    <col min="5" max="5" width="11" style="257" customWidth="1"/>
    <col min="6" max="16384" width="8.85546875" style="254"/>
  </cols>
  <sheetData>
    <row r="1" spans="1:5" ht="19.5" thickBot="1" x14ac:dyDescent="0.35">
      <c r="A1" s="492" t="s">
        <v>135</v>
      </c>
      <c r="B1" s="492"/>
      <c r="C1" s="493"/>
      <c r="D1" s="493"/>
      <c r="E1" s="493"/>
    </row>
    <row r="2" spans="1:5" ht="14.45" customHeight="1" thickBot="1" x14ac:dyDescent="0.25">
      <c r="A2" s="666" t="s">
        <v>305</v>
      </c>
      <c r="B2" s="255"/>
    </row>
    <row r="3" spans="1:5" ht="14.45" customHeight="1" thickBot="1" x14ac:dyDescent="0.25">
      <c r="A3" s="258"/>
      <c r="C3" s="259" t="s">
        <v>117</v>
      </c>
      <c r="D3" s="260" t="s">
        <v>80</v>
      </c>
      <c r="E3" s="261" t="s">
        <v>82</v>
      </c>
    </row>
    <row r="4" spans="1:5" ht="14.45" customHeight="1" thickBot="1" x14ac:dyDescent="0.25">
      <c r="A4" s="262" t="str">
        <f>HYPERLINK("#HI!A1","NÁKLADY CELKEM (v tisících Kč)")</f>
        <v>NÁKLADY CELKEM (v tisících Kč)</v>
      </c>
      <c r="B4" s="263"/>
      <c r="C4" s="264">
        <f ca="1">IF(ISERROR(VLOOKUP("Náklady celkem",INDIRECT("HI!$A:$G"),6,0)),0,VLOOKUP("Náklady celkem",INDIRECT("HI!$A:$G"),6,0))</f>
        <v>82851.884303833009</v>
      </c>
      <c r="D4" s="264">
        <f ca="1">IF(ISERROR(VLOOKUP("Náklady celkem",INDIRECT("HI!$A:$G"),5,0)),0,VLOOKUP("Náklady celkem",INDIRECT("HI!$A:$G"),5,0))</f>
        <v>87562.131699999998</v>
      </c>
      <c r="E4" s="265">
        <f ca="1">IF(C4=0,0,D4/C4)</f>
        <v>1.0568514214944544</v>
      </c>
    </row>
    <row r="5" spans="1:5" ht="14.45" customHeight="1" x14ac:dyDescent="0.2">
      <c r="A5" s="266" t="s">
        <v>171</v>
      </c>
      <c r="B5" s="267"/>
      <c r="C5" s="268"/>
      <c r="D5" s="268"/>
      <c r="E5" s="269"/>
    </row>
    <row r="6" spans="1:5" ht="14.45" customHeight="1" x14ac:dyDescent="0.2">
      <c r="A6" s="270" t="s">
        <v>176</v>
      </c>
      <c r="B6" s="271"/>
      <c r="C6" s="272"/>
      <c r="D6" s="272"/>
      <c r="E6" s="269"/>
    </row>
    <row r="7" spans="1:5" ht="14.45" customHeight="1" x14ac:dyDescent="0.25">
      <c r="A7" s="38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71" t="s">
        <v>122</v>
      </c>
      <c r="C7" s="272">
        <f>IF(ISERROR(HI!F5),"",HI!F5)</f>
        <v>10249.9989765625</v>
      </c>
      <c r="D7" s="272">
        <f>IF(ISERROR(HI!E5),"",HI!E5)</f>
        <v>10025.789759999998</v>
      </c>
      <c r="E7" s="269">
        <f t="shared" ref="E7:E13" si="0">IF(C7=0,0,D7/C7)</f>
        <v>0.9781259279073905</v>
      </c>
    </row>
    <row r="8" spans="1:5" ht="14.45" customHeight="1" x14ac:dyDescent="0.25">
      <c r="A8" s="381" t="str">
        <f>HYPERLINK("#'LŽ PL'!A1","Plnění pozitivního listu (min. 90%)")</f>
        <v>Plnění pozitivního listu (min. 90%)</v>
      </c>
      <c r="B8" s="271" t="s">
        <v>169</v>
      </c>
      <c r="C8" s="273">
        <v>0.9</v>
      </c>
      <c r="D8" s="273">
        <f>IF(ISERROR(VLOOKUP("celkem",'LŽ PL'!$A:$F,5,0)),0,VLOOKUP("celkem",'LŽ PL'!$A:$F,5,0))</f>
        <v>0.84152624970427925</v>
      </c>
      <c r="E8" s="269">
        <f t="shared" si="0"/>
        <v>0.93502916633808808</v>
      </c>
    </row>
    <row r="9" spans="1:5" ht="14.45" customHeight="1" x14ac:dyDescent="0.25">
      <c r="A9" s="381" t="str">
        <f>HYPERLINK("#'LŽ Statim'!A1","Podíl statimových žádanek (max. 30%)")</f>
        <v>Podíl statimových žádanek (max. 30%)</v>
      </c>
      <c r="B9" s="379" t="s">
        <v>228</v>
      </c>
      <c r="C9" s="380">
        <v>0.3</v>
      </c>
      <c r="D9" s="380">
        <f>IF('LŽ Statim'!G3="",0,'LŽ Statim'!G3)</f>
        <v>0.15553060078607525</v>
      </c>
      <c r="E9" s="269">
        <f>IF(C9=0,0,D9/C9)</f>
        <v>0.51843533595358415</v>
      </c>
    </row>
    <row r="10" spans="1:5" ht="14.45" customHeight="1" x14ac:dyDescent="0.2">
      <c r="A10" s="274" t="s">
        <v>172</v>
      </c>
      <c r="B10" s="271"/>
      <c r="C10" s="272"/>
      <c r="D10" s="272"/>
      <c r="E10" s="269"/>
    </row>
    <row r="11" spans="1:5" ht="14.45" customHeight="1" x14ac:dyDescent="0.2">
      <c r="A11" s="274" t="s">
        <v>173</v>
      </c>
      <c r="B11" s="271"/>
      <c r="C11" s="272"/>
      <c r="D11" s="272"/>
      <c r="E11" s="269"/>
    </row>
    <row r="12" spans="1:5" ht="14.45" customHeight="1" x14ac:dyDescent="0.2">
      <c r="A12" s="275" t="s">
        <v>177</v>
      </c>
      <c r="B12" s="271"/>
      <c r="C12" s="268"/>
      <c r="D12" s="268"/>
      <c r="E12" s="269"/>
    </row>
    <row r="13" spans="1:5" ht="14.45" customHeight="1" x14ac:dyDescent="0.2">
      <c r="A13" s="27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271" t="s">
        <v>122</v>
      </c>
      <c r="C13" s="272">
        <f>IF(ISERROR(HI!F6),"",HI!F6)</f>
        <v>4707</v>
      </c>
      <c r="D13" s="272">
        <f>IF(ISERROR(HI!E6),"",HI!E6)</f>
        <v>4678.1789199999994</v>
      </c>
      <c r="E13" s="269">
        <f t="shared" si="0"/>
        <v>0.99387697471850422</v>
      </c>
    </row>
    <row r="14" spans="1:5" ht="14.45" customHeight="1" thickBot="1" x14ac:dyDescent="0.25">
      <c r="A14" s="277" t="str">
        <f>HYPERLINK("#HI!A1","Osobní náklady")</f>
        <v>Osobní náklady</v>
      </c>
      <c r="B14" s="271"/>
      <c r="C14" s="268">
        <f ca="1">IF(ISERROR(VLOOKUP("Osobní náklady (Kč) *",INDIRECT("HI!$A:$G"),6,0)),0,VLOOKUP("Osobní náklady (Kč) *",INDIRECT("HI!$A:$G"),6,0))</f>
        <v>58551.690296875</v>
      </c>
      <c r="D14" s="268">
        <f ca="1">IF(ISERROR(VLOOKUP("Osobní náklady (Kč) *",INDIRECT("HI!$A:$G"),5,0)),0,VLOOKUP("Osobní náklady (Kč) *",INDIRECT("HI!$A:$G"),5,0))</f>
        <v>61485.221700000002</v>
      </c>
      <c r="E14" s="269">
        <f ca="1">IF(C14=0,0,D14/C14)</f>
        <v>1.0501015664663325</v>
      </c>
    </row>
    <row r="15" spans="1:5" ht="14.45" customHeight="1" thickBot="1" x14ac:dyDescent="0.25">
      <c r="A15" s="281"/>
      <c r="B15" s="282"/>
      <c r="C15" s="283"/>
      <c r="D15" s="283"/>
      <c r="E15" s="284"/>
    </row>
    <row r="16" spans="1:5" ht="14.45" customHeight="1" thickBot="1" x14ac:dyDescent="0.25">
      <c r="A16" s="285" t="str">
        <f>HYPERLINK("#HI!A1","VÝNOSY CELKEM (v tisících)")</f>
        <v>VÝNOSY CELKEM (v tisících)</v>
      </c>
      <c r="B16" s="286"/>
      <c r="C16" s="287">
        <f ca="1">IF(ISERROR(VLOOKUP("Výnosy celkem",INDIRECT("HI!$A:$G"),6,0)),0,VLOOKUP("Výnosy celkem",INDIRECT("HI!$A:$G"),6,0))</f>
        <v>19999.710000000003</v>
      </c>
      <c r="D16" s="287">
        <f ca="1">IF(ISERROR(VLOOKUP("Výnosy celkem",INDIRECT("HI!$A:$G"),5,0)),0,VLOOKUP("Výnosy celkem",INDIRECT("HI!$A:$G"),5,0))</f>
        <v>14342.01</v>
      </c>
      <c r="E16" s="288">
        <f t="shared" ref="E16:E29" ca="1" si="1">IF(C16=0,0,D16/C16)</f>
        <v>0.71711089810802253</v>
      </c>
    </row>
    <row r="17" spans="1:5" ht="14.45" customHeight="1" x14ac:dyDescent="0.2">
      <c r="A17" s="289" t="str">
        <f>HYPERLINK("#HI!A1","Ambulance (body za výkony + Kč za ZUM a ZULP)")</f>
        <v>Ambulance (body za výkony + Kč za ZUM a ZULP)</v>
      </c>
      <c r="B17" s="267"/>
      <c r="C17" s="268">
        <f ca="1">IF(ISERROR(VLOOKUP("Ambulance *",INDIRECT("HI!$A:$G"),6,0)),0,VLOOKUP("Ambulance *",INDIRECT("HI!$A:$G"),6,0))</f>
        <v>0</v>
      </c>
      <c r="D17" s="268">
        <f ca="1">IF(ISERROR(VLOOKUP("Ambulance *",INDIRECT("HI!$A:$G"),5,0)),0,VLOOKUP("Ambulance *",INDIRECT("HI!$A:$G"),5,0))</f>
        <v>0</v>
      </c>
      <c r="E17" s="269">
        <f t="shared" ca="1" si="1"/>
        <v>0</v>
      </c>
    </row>
    <row r="18" spans="1:5" ht="14.45" customHeight="1" x14ac:dyDescent="0.25">
      <c r="A18" s="409" t="str">
        <f>HYPERLINK("#'ZV Vykáz.-A'!A1","Zdravotní výkony vykázané u ambulantních pacientů (min. 100 % 2016)")</f>
        <v>Zdravotní výkony vykázané u ambulantních pacientů (min. 100 % 2016)</v>
      </c>
      <c r="B18" s="410" t="s">
        <v>137</v>
      </c>
      <c r="C18" s="273">
        <v>1</v>
      </c>
      <c r="D18" s="273" t="str">
        <f>IF(ISERROR(VLOOKUP("Celkem:",'ZV Vykáz.-A'!$A:$AB,10,0)),"",VLOOKUP("Celkem:",'ZV Vykáz.-A'!$A:$AB,10,0))</f>
        <v/>
      </c>
      <c r="E18" s="269" t="e">
        <f t="shared" si="1"/>
        <v>#VALUE!</v>
      </c>
    </row>
    <row r="19" spans="1:5" ht="14.45" customHeight="1" x14ac:dyDescent="0.25">
      <c r="A19" s="407" t="str">
        <f>HYPERLINK("#'ZV Vykáz.-A'!A1","Specializovaná ambulantní péče")</f>
        <v>Specializovaná ambulantní péče</v>
      </c>
      <c r="B19" s="410" t="s">
        <v>137</v>
      </c>
      <c r="C19" s="273">
        <v>1</v>
      </c>
      <c r="D19" s="380">
        <f>IF(ISERROR(VLOOKUP("Specializovaná ambulantní péče",'ZV Vykáz.-A'!$A:$AB,10,0)),"",VLOOKUP("Specializovaná ambulantní péče",'ZV Vykáz.-A'!$A:$AB,10,0))</f>
        <v>0</v>
      </c>
      <c r="E19" s="269">
        <f t="shared" si="1"/>
        <v>0</v>
      </c>
    </row>
    <row r="20" spans="1:5" ht="14.45" customHeight="1" x14ac:dyDescent="0.25">
      <c r="A20" s="407" t="str">
        <f>HYPERLINK("#'ZV Vykáz.-A'!A1","Ambulantní péče ve vyjmenovaných odbornostech (§9)")</f>
        <v>Ambulantní péče ve vyjmenovaných odbornostech (§9)</v>
      </c>
      <c r="B20" s="410" t="s">
        <v>137</v>
      </c>
      <c r="C20" s="273">
        <v>1</v>
      </c>
      <c r="D20" s="380" t="str">
        <f>IF(ISERROR(VLOOKUP("Ambulantní péče ve vyjmenovaných odbornostech (§9) *",'ZV Vykáz.-A'!$A:$AB,10,0)),"",VLOOKUP("Ambulantní péče ve vyjmenovaných odbornostech (§9) *",'ZV Vykáz.-A'!$A:$AB,10,0))</f>
        <v/>
      </c>
      <c r="E20" s="269">
        <f>IF(OR(C20=0,D20=""),0,IF(C20="","",D20/C20))</f>
        <v>0</v>
      </c>
    </row>
    <row r="21" spans="1:5" ht="14.45" customHeight="1" x14ac:dyDescent="0.2">
      <c r="A21" s="290" t="str">
        <f>HYPERLINK("#'ZV Vykáz.-H'!A1","Zdravotní výkony vykázané u hospitalizovaných pacientů (max. 85 %)")</f>
        <v>Zdravotní výkony vykázané u hospitalizovaných pacientů (max. 85 %)</v>
      </c>
      <c r="B21" s="410" t="s">
        <v>139</v>
      </c>
      <c r="C21" s="273">
        <v>0.85</v>
      </c>
      <c r="D21" s="273">
        <f>IF(ISERROR(VLOOKUP("Celkem:",'ZV Vykáz.-H'!$A:$S,7,0)),"",VLOOKUP("Celkem:",'ZV Vykáz.-H'!$A:$S,7,0))</f>
        <v>0.97021207660625808</v>
      </c>
      <c r="E21" s="269">
        <f t="shared" si="1"/>
        <v>1.1414259724779507</v>
      </c>
    </row>
    <row r="22" spans="1:5" ht="14.45" customHeight="1" x14ac:dyDescent="0.2">
      <c r="A22" s="291" t="str">
        <f>HYPERLINK("#HI!A1","Hospitalizace (casemix * 30000)")</f>
        <v>Hospitalizace (casemix * 30000)</v>
      </c>
      <c r="B22" s="271"/>
      <c r="C22" s="268">
        <f ca="1">IF(ISERROR(VLOOKUP("Hospitalizace *",INDIRECT("HI!$A:$G"),6,0)),0,VLOOKUP("Hospitalizace *",INDIRECT("HI!$A:$G"),6,0))</f>
        <v>19999.710000000003</v>
      </c>
      <c r="D22" s="268">
        <f ca="1">IF(ISERROR(VLOOKUP("Hospitalizace *",INDIRECT("HI!$A:$G"),5,0)),0,VLOOKUP("Hospitalizace *",INDIRECT("HI!$A:$G"),5,0))</f>
        <v>14342.01</v>
      </c>
      <c r="E22" s="269">
        <f ca="1">IF(C22=0,0,D22/C22)</f>
        <v>0.71711089810802253</v>
      </c>
    </row>
    <row r="23" spans="1:5" ht="14.45" customHeight="1" x14ac:dyDescent="0.25">
      <c r="A23" s="409" t="str">
        <f>HYPERLINK("#'CaseMix'!A1","Casemix (min. 100 % 2016)")</f>
        <v>Casemix (min. 100 % 2016)</v>
      </c>
      <c r="B23" s="271" t="s">
        <v>57</v>
      </c>
      <c r="C23" s="273">
        <v>1</v>
      </c>
      <c r="D23" s="273">
        <f>IF(ISERROR(VLOOKUP("Celkem",CaseMix!A:O,6,0)),0,VLOOKUP("Celkem",CaseMix!A:O,6,0))</f>
        <v>0.71711089810802253</v>
      </c>
      <c r="E23" s="269">
        <f t="shared" si="1"/>
        <v>0.71711089810802253</v>
      </c>
    </row>
    <row r="24" spans="1:5" ht="14.45" customHeight="1" x14ac:dyDescent="0.25">
      <c r="A24" s="408" t="str">
        <f>HYPERLINK("#'CaseMix'!A1","DRG - Úhrada formou případového paušálu")</f>
        <v>DRG - Úhrada formou případového paušálu</v>
      </c>
      <c r="B24" s="271" t="s">
        <v>57</v>
      </c>
      <c r="C24" s="273">
        <v>1</v>
      </c>
      <c r="D24" s="273">
        <f>IF(ISERROR(CaseMix!F26),"",CaseMix!F26)</f>
        <v>0.71711089810802253</v>
      </c>
      <c r="E24" s="269">
        <f t="shared" si="1"/>
        <v>0.71711089810802253</v>
      </c>
    </row>
    <row r="25" spans="1:5" ht="14.45" customHeight="1" x14ac:dyDescent="0.25">
      <c r="A25" s="408" t="str">
        <f>HYPERLINK("#'CaseMix'!A1","DRG - Individuálně smluvně sjednaná složka úhrady")</f>
        <v>DRG - Individuálně smluvně sjednaná složka úhrady</v>
      </c>
      <c r="B25" s="271" t="s">
        <v>57</v>
      </c>
      <c r="C25" s="273">
        <v>1</v>
      </c>
      <c r="D25" s="273">
        <f>IF(ISERROR(CaseMix!F39),"",CaseMix!F39)</f>
        <v>0</v>
      </c>
      <c r="E25" s="269">
        <f t="shared" si="1"/>
        <v>0</v>
      </c>
    </row>
    <row r="26" spans="1:5" ht="14.45" customHeight="1" x14ac:dyDescent="0.25">
      <c r="A26" s="407" t="str">
        <f>HYPERLINK("#'CaseMix'!A1","DRG - Úhrada vyčleněná z úhrady formou případového paušálu")</f>
        <v>DRG - Úhrada vyčleněná z úhrady formou případového paušálu</v>
      </c>
      <c r="B26" s="271" t="s">
        <v>57</v>
      </c>
      <c r="C26" s="273">
        <v>1</v>
      </c>
      <c r="D26" s="273">
        <f>IF(ISERROR(CaseMix!F52),"",CaseMix!F52)</f>
        <v>0</v>
      </c>
      <c r="E26" s="269">
        <f t="shared" ref="E26" si="2">IF(C26=0,0,D26/C26)</f>
        <v>0</v>
      </c>
    </row>
    <row r="27" spans="1:5" ht="14.45" customHeight="1" x14ac:dyDescent="0.2">
      <c r="A27" s="290" t="str">
        <f>HYPERLINK("#'CaseMix'!A1","Počet hospitalizací ukončených na pracovišti (min. 95 %)")</f>
        <v>Počet hospitalizací ukončených na pracovišti (min. 95 %)</v>
      </c>
      <c r="B27" s="271" t="s">
        <v>57</v>
      </c>
      <c r="C27" s="273">
        <v>0.95</v>
      </c>
      <c r="D27" s="273">
        <f>IF(ISERROR(CaseMix!K13),"",CaseMix!K13)</f>
        <v>1</v>
      </c>
      <c r="E27" s="269">
        <f t="shared" si="1"/>
        <v>1.0526315789473684</v>
      </c>
    </row>
    <row r="28" spans="1:5" ht="14.45" customHeight="1" x14ac:dyDescent="0.2">
      <c r="A28" s="290" t="str">
        <f>HYPERLINK("#'ALOS'!A1","Průměrná délka hospitalizace (max. 100 % republikového průměru)")</f>
        <v>Průměrná délka hospitalizace (max. 100 % republikového průměru)</v>
      </c>
      <c r="B28" s="271" t="s">
        <v>72</v>
      </c>
      <c r="C28" s="273">
        <v>1</v>
      </c>
      <c r="D28" s="292">
        <f>IF(ISERROR(INDEX(ALOS!$E:$E,COUNT(ALOS!$E:$E)+32)),0,INDEX(ALOS!$E:$E,COUNT(ALOS!$E:$E)+32))</f>
        <v>0.73621323529411764</v>
      </c>
      <c r="E28" s="269">
        <f t="shared" si="1"/>
        <v>0.73621323529411764</v>
      </c>
    </row>
    <row r="29" spans="1:5" ht="25.5" x14ac:dyDescent="0.2">
      <c r="A29" s="293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9" s="271" t="s">
        <v>134</v>
      </c>
      <c r="C29" s="273">
        <f>IF(E23&gt;1,95%,95%-2*ABS(C23-D23))</f>
        <v>0.38422179621604502</v>
      </c>
      <c r="D29" s="273">
        <f>IF(ISERROR(VLOOKUP("Celkem:",'ZV Vyžád.'!$A:$M,7,0)),"",VLOOKUP("Celkem:",'ZV Vyžád.'!$A:$M,7,0))</f>
        <v>1.0405498503096764</v>
      </c>
      <c r="E29" s="269">
        <f t="shared" si="1"/>
        <v>2.7082009936900691</v>
      </c>
    </row>
    <row r="30" spans="1:5" ht="14.45" customHeight="1" thickBot="1" x14ac:dyDescent="0.25">
      <c r="A30" s="294" t="s">
        <v>174</v>
      </c>
      <c r="B30" s="278"/>
      <c r="C30" s="279"/>
      <c r="D30" s="279"/>
      <c r="E30" s="280"/>
    </row>
    <row r="31" spans="1:5" ht="14.45" customHeight="1" thickBot="1" x14ac:dyDescent="0.25">
      <c r="A31" s="295"/>
      <c r="B31" s="296"/>
      <c r="C31" s="297"/>
      <c r="D31" s="297"/>
      <c r="E31" s="298"/>
    </row>
    <row r="32" spans="1:5" ht="14.45" customHeight="1" thickBot="1" x14ac:dyDescent="0.25">
      <c r="A32" s="299" t="s">
        <v>175</v>
      </c>
      <c r="B32" s="300"/>
      <c r="C32" s="301"/>
      <c r="D32" s="301"/>
      <c r="E32" s="302"/>
    </row>
  </sheetData>
  <mergeCells count="1">
    <mergeCell ref="A1:E1"/>
  </mergeCells>
  <conditionalFormatting sqref="E5">
    <cfRule type="cellIs" dxfId="76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75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73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72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7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3:E25 E16 E8 E27 E18:E19">
    <cfRule type="cellIs" dxfId="70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69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6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6">
    <cfRule type="cellIs" dxfId="68" priority="5" operator="lessThan">
      <formula>1</formula>
    </cfRule>
  </conditionalFormatting>
  <conditionalFormatting sqref="E28:E29 E4 E7 E13 E20:E21">
    <cfRule type="cellIs" dxfId="67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CDB506FD-F585-465B-A68B-F0E2332838E9}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233" bestFit="1" customWidth="1" collapsed="1"/>
    <col min="2" max="2" width="7.7109375" style="201" hidden="1" customWidth="1" outlineLevel="1"/>
    <col min="3" max="3" width="0.140625" style="233" hidden="1" customWidth="1"/>
    <col min="4" max="4" width="7.7109375" style="201" customWidth="1"/>
    <col min="5" max="5" width="5.42578125" style="233" hidden="1" customWidth="1"/>
    <col min="6" max="6" width="7.7109375" style="201" customWidth="1"/>
    <col min="7" max="7" width="7.7109375" style="316" customWidth="1" collapsed="1"/>
    <col min="8" max="8" width="7.7109375" style="201" hidden="1" customWidth="1" outlineLevel="1"/>
    <col min="9" max="9" width="5.42578125" style="233" hidden="1" customWidth="1"/>
    <col min="10" max="10" width="7.7109375" style="201" customWidth="1"/>
    <col min="11" max="11" width="5.42578125" style="233" hidden="1" customWidth="1"/>
    <col min="12" max="12" width="7.7109375" style="201" customWidth="1"/>
    <col min="13" max="13" width="7.7109375" style="316" customWidth="1" collapsed="1"/>
    <col min="14" max="14" width="7.7109375" style="201" hidden="1" customWidth="1" outlineLevel="1"/>
    <col min="15" max="15" width="5" style="233" hidden="1" customWidth="1"/>
    <col min="16" max="16" width="7.7109375" style="201" customWidth="1"/>
    <col min="17" max="17" width="5" style="233" hidden="1" customWidth="1"/>
    <col min="18" max="18" width="7.7109375" style="201" customWidth="1"/>
    <col min="19" max="19" width="7.7109375" style="316" customWidth="1"/>
    <col min="20" max="16384" width="8.85546875" style="233"/>
  </cols>
  <sheetData>
    <row r="1" spans="1:19" ht="18.600000000000001" customHeight="1" thickBot="1" x14ac:dyDescent="0.35">
      <c r="A1" s="504" t="s">
        <v>141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492"/>
      <c r="P1" s="492"/>
      <c r="Q1" s="492"/>
      <c r="R1" s="492"/>
      <c r="S1" s="492"/>
    </row>
    <row r="2" spans="1:19" ht="14.45" customHeight="1" thickBot="1" x14ac:dyDescent="0.25">
      <c r="A2" s="666" t="s">
        <v>305</v>
      </c>
      <c r="B2" s="328"/>
      <c r="C2" s="206"/>
      <c r="D2" s="328"/>
      <c r="E2" s="206"/>
      <c r="F2" s="328"/>
      <c r="G2" s="329"/>
      <c r="H2" s="328"/>
      <c r="I2" s="206"/>
      <c r="J2" s="328"/>
      <c r="K2" s="206"/>
      <c r="L2" s="328"/>
      <c r="M2" s="329"/>
      <c r="N2" s="328"/>
      <c r="O2" s="206"/>
      <c r="P2" s="328"/>
      <c r="Q2" s="206"/>
      <c r="R2" s="328"/>
      <c r="S2" s="329"/>
    </row>
    <row r="3" spans="1:19" ht="14.45" customHeight="1" thickBot="1" x14ac:dyDescent="0.25">
      <c r="A3" s="322" t="s">
        <v>143</v>
      </c>
      <c r="B3" s="323">
        <f>SUBTOTAL(9,B6:B1048576)</f>
        <v>48290934</v>
      </c>
      <c r="C3" s="324">
        <f t="shared" ref="C3:R3" si="0">SUBTOTAL(9,C6:C1048576)</f>
        <v>0.97385933008163239</v>
      </c>
      <c r="D3" s="324">
        <f t="shared" si="0"/>
        <v>49587176</v>
      </c>
      <c r="E3" s="324">
        <f t="shared" si="0"/>
        <v>1</v>
      </c>
      <c r="F3" s="324">
        <f t="shared" si="0"/>
        <v>48110077</v>
      </c>
      <c r="G3" s="327">
        <f>IF(D3&lt;&gt;0,F3/D3,"")</f>
        <v>0.97021207660625808</v>
      </c>
      <c r="H3" s="323">
        <f t="shared" si="0"/>
        <v>10643163.400000004</v>
      </c>
      <c r="I3" s="324">
        <f t="shared" si="0"/>
        <v>1.0723720016938405</v>
      </c>
      <c r="J3" s="324">
        <f t="shared" si="0"/>
        <v>9924879.9700000007</v>
      </c>
      <c r="K3" s="324">
        <f t="shared" si="0"/>
        <v>1</v>
      </c>
      <c r="L3" s="324">
        <f t="shared" si="0"/>
        <v>8401220.6600000151</v>
      </c>
      <c r="M3" s="325">
        <f>IF(J3&lt;&gt;0,L3/J3,"")</f>
        <v>0.84648083255358653</v>
      </c>
      <c r="N3" s="326">
        <f t="shared" si="0"/>
        <v>0</v>
      </c>
      <c r="O3" s="324">
        <f t="shared" si="0"/>
        <v>0</v>
      </c>
      <c r="P3" s="324">
        <f t="shared" si="0"/>
        <v>0</v>
      </c>
      <c r="Q3" s="324">
        <f t="shared" si="0"/>
        <v>0</v>
      </c>
      <c r="R3" s="324">
        <f t="shared" si="0"/>
        <v>0</v>
      </c>
      <c r="S3" s="325" t="str">
        <f>IF(P3&lt;&gt;0,R3/P3,"")</f>
        <v/>
      </c>
    </row>
    <row r="4" spans="1:19" ht="14.45" customHeight="1" x14ac:dyDescent="0.2">
      <c r="A4" s="588" t="s">
        <v>115</v>
      </c>
      <c r="B4" s="589" t="s">
        <v>109</v>
      </c>
      <c r="C4" s="590"/>
      <c r="D4" s="590"/>
      <c r="E4" s="590"/>
      <c r="F4" s="590"/>
      <c r="G4" s="592"/>
      <c r="H4" s="589" t="s">
        <v>110</v>
      </c>
      <c r="I4" s="590"/>
      <c r="J4" s="590"/>
      <c r="K4" s="590"/>
      <c r="L4" s="590"/>
      <c r="M4" s="592"/>
      <c r="N4" s="589" t="s">
        <v>111</v>
      </c>
      <c r="O4" s="590"/>
      <c r="P4" s="590"/>
      <c r="Q4" s="590"/>
      <c r="R4" s="590"/>
      <c r="S4" s="592"/>
    </row>
    <row r="5" spans="1:19" ht="14.45" customHeight="1" thickBot="1" x14ac:dyDescent="0.25">
      <c r="A5" s="771"/>
      <c r="B5" s="772">
        <v>2015</v>
      </c>
      <c r="C5" s="773"/>
      <c r="D5" s="773">
        <v>2018</v>
      </c>
      <c r="E5" s="773"/>
      <c r="F5" s="773">
        <v>2019</v>
      </c>
      <c r="G5" s="802" t="s">
        <v>2</v>
      </c>
      <c r="H5" s="772">
        <v>2015</v>
      </c>
      <c r="I5" s="773"/>
      <c r="J5" s="773">
        <v>2018</v>
      </c>
      <c r="K5" s="773"/>
      <c r="L5" s="773">
        <v>2019</v>
      </c>
      <c r="M5" s="802" t="s">
        <v>2</v>
      </c>
      <c r="N5" s="772">
        <v>2015</v>
      </c>
      <c r="O5" s="773"/>
      <c r="P5" s="773">
        <v>2018</v>
      </c>
      <c r="Q5" s="773"/>
      <c r="R5" s="773">
        <v>2019</v>
      </c>
      <c r="S5" s="802" t="s">
        <v>2</v>
      </c>
    </row>
    <row r="6" spans="1:19" ht="14.45" customHeight="1" thickBot="1" x14ac:dyDescent="0.25">
      <c r="A6" s="789" t="s">
        <v>2036</v>
      </c>
      <c r="B6" s="787">
        <v>48290934</v>
      </c>
      <c r="C6" s="800">
        <v>0.97385933008163239</v>
      </c>
      <c r="D6" s="787">
        <v>49587176</v>
      </c>
      <c r="E6" s="800">
        <v>1</v>
      </c>
      <c r="F6" s="787">
        <v>48110077</v>
      </c>
      <c r="G6" s="372">
        <v>0.97021207660625808</v>
      </c>
      <c r="H6" s="787">
        <v>10643163.400000004</v>
      </c>
      <c r="I6" s="800">
        <v>1.0723720016938405</v>
      </c>
      <c r="J6" s="787">
        <v>9924879.9700000007</v>
      </c>
      <c r="K6" s="800">
        <v>1</v>
      </c>
      <c r="L6" s="787">
        <v>8401220.6600000151</v>
      </c>
      <c r="M6" s="372">
        <v>0.84648083255358653</v>
      </c>
      <c r="N6" s="787"/>
      <c r="O6" s="800"/>
      <c r="P6" s="787"/>
      <c r="Q6" s="800"/>
      <c r="R6" s="787"/>
      <c r="S6" s="37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4E269A56-89E4-4322-9911-5578E6D545A0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68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233" bestFit="1" customWidth="1"/>
    <col min="2" max="2" width="8.7109375" style="233" bestFit="1" customWidth="1"/>
    <col min="3" max="3" width="2.140625" style="233" bestFit="1" customWidth="1"/>
    <col min="4" max="4" width="8" style="233" bestFit="1" customWidth="1"/>
    <col min="5" max="5" width="52.85546875" style="233" bestFit="1" customWidth="1" collapsed="1"/>
    <col min="6" max="7" width="11.140625" style="313" hidden="1" customWidth="1" outlineLevel="1"/>
    <col min="8" max="9" width="9.28515625" style="313" hidden="1" customWidth="1"/>
    <col min="10" max="11" width="11.140625" style="313" customWidth="1"/>
    <col min="12" max="13" width="9.28515625" style="313" hidden="1" customWidth="1"/>
    <col min="14" max="15" width="11.140625" style="313" customWidth="1"/>
    <col min="16" max="16" width="11.140625" style="316" customWidth="1"/>
    <col min="17" max="17" width="11.140625" style="313" customWidth="1"/>
    <col min="18" max="16384" width="8.85546875" style="233"/>
  </cols>
  <sheetData>
    <row r="1" spans="1:17" ht="18.600000000000001" customHeight="1" thickBot="1" x14ac:dyDescent="0.35">
      <c r="A1" s="492" t="s">
        <v>4132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492"/>
      <c r="P1" s="492"/>
      <c r="Q1" s="492"/>
    </row>
    <row r="2" spans="1:17" ht="14.45" customHeight="1" thickBot="1" x14ac:dyDescent="0.25">
      <c r="A2" s="666" t="s">
        <v>305</v>
      </c>
      <c r="B2" s="234"/>
      <c r="C2" s="234"/>
      <c r="D2" s="234"/>
      <c r="E2" s="234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1"/>
      <c r="Q2" s="330"/>
    </row>
    <row r="3" spans="1:17" ht="14.45" customHeight="1" thickBot="1" x14ac:dyDescent="0.25">
      <c r="E3" s="98" t="s">
        <v>143</v>
      </c>
      <c r="F3" s="193">
        <f t="shared" ref="F3:O3" si="0">SUBTOTAL(9,F6:F1048576)</f>
        <v>17200.12</v>
      </c>
      <c r="G3" s="194">
        <f t="shared" si="0"/>
        <v>58934097.400000006</v>
      </c>
      <c r="H3" s="194"/>
      <c r="I3" s="194"/>
      <c r="J3" s="194">
        <f t="shared" si="0"/>
        <v>17835.25</v>
      </c>
      <c r="K3" s="194">
        <f t="shared" si="0"/>
        <v>59512055.970000006</v>
      </c>
      <c r="L3" s="194"/>
      <c r="M3" s="194"/>
      <c r="N3" s="194">
        <f t="shared" si="0"/>
        <v>15231.480000000003</v>
      </c>
      <c r="O3" s="194">
        <f t="shared" si="0"/>
        <v>56511297.659999996</v>
      </c>
      <c r="P3" s="71">
        <f>IF(K3=0,0,O3/K3)</f>
        <v>0.94957730394136119</v>
      </c>
      <c r="Q3" s="195">
        <f>IF(N3=0,0,O3/N3)</f>
        <v>3710.1645841375876</v>
      </c>
    </row>
    <row r="4" spans="1:17" ht="14.45" customHeight="1" x14ac:dyDescent="0.2">
      <c r="A4" s="597" t="s">
        <v>60</v>
      </c>
      <c r="B4" s="595" t="s">
        <v>105</v>
      </c>
      <c r="C4" s="597" t="s">
        <v>106</v>
      </c>
      <c r="D4" s="606" t="s">
        <v>107</v>
      </c>
      <c r="E4" s="598" t="s">
        <v>67</v>
      </c>
      <c r="F4" s="604">
        <v>2015</v>
      </c>
      <c r="G4" s="605"/>
      <c r="H4" s="196"/>
      <c r="I4" s="196"/>
      <c r="J4" s="604">
        <v>2018</v>
      </c>
      <c r="K4" s="605"/>
      <c r="L4" s="196"/>
      <c r="M4" s="196"/>
      <c r="N4" s="604">
        <v>2019</v>
      </c>
      <c r="O4" s="605"/>
      <c r="P4" s="607" t="s">
        <v>2</v>
      </c>
      <c r="Q4" s="596" t="s">
        <v>108</v>
      </c>
    </row>
    <row r="5" spans="1:17" ht="14.45" customHeight="1" thickBot="1" x14ac:dyDescent="0.25">
      <c r="A5" s="792"/>
      <c r="B5" s="790"/>
      <c r="C5" s="792"/>
      <c r="D5" s="803"/>
      <c r="E5" s="794"/>
      <c r="F5" s="804" t="s">
        <v>77</v>
      </c>
      <c r="G5" s="805" t="s">
        <v>14</v>
      </c>
      <c r="H5" s="806"/>
      <c r="I5" s="806"/>
      <c r="J5" s="804" t="s">
        <v>77</v>
      </c>
      <c r="K5" s="805" t="s">
        <v>14</v>
      </c>
      <c r="L5" s="806"/>
      <c r="M5" s="806"/>
      <c r="N5" s="804" t="s">
        <v>77</v>
      </c>
      <c r="O5" s="805" t="s">
        <v>14</v>
      </c>
      <c r="P5" s="807"/>
      <c r="Q5" s="799"/>
    </row>
    <row r="6" spans="1:17" ht="14.45" customHeight="1" x14ac:dyDescent="0.2">
      <c r="A6" s="708" t="s">
        <v>518</v>
      </c>
      <c r="B6" s="709" t="s">
        <v>3034</v>
      </c>
      <c r="C6" s="709" t="s">
        <v>3029</v>
      </c>
      <c r="D6" s="709" t="s">
        <v>3035</v>
      </c>
      <c r="E6" s="709" t="s">
        <v>3036</v>
      </c>
      <c r="F6" s="713"/>
      <c r="G6" s="713"/>
      <c r="H6" s="713"/>
      <c r="I6" s="713"/>
      <c r="J6" s="713">
        <v>2</v>
      </c>
      <c r="K6" s="713">
        <v>1262</v>
      </c>
      <c r="L6" s="713">
        <v>1</v>
      </c>
      <c r="M6" s="713">
        <v>631</v>
      </c>
      <c r="N6" s="713"/>
      <c r="O6" s="713"/>
      <c r="P6" s="734"/>
      <c r="Q6" s="714"/>
    </row>
    <row r="7" spans="1:17" ht="14.45" customHeight="1" x14ac:dyDescent="0.2">
      <c r="A7" s="715" t="s">
        <v>518</v>
      </c>
      <c r="B7" s="716" t="s">
        <v>3034</v>
      </c>
      <c r="C7" s="716" t="s">
        <v>3029</v>
      </c>
      <c r="D7" s="716" t="s">
        <v>3037</v>
      </c>
      <c r="E7" s="716" t="s">
        <v>3038</v>
      </c>
      <c r="F7" s="720"/>
      <c r="G7" s="720"/>
      <c r="H7" s="720"/>
      <c r="I7" s="720"/>
      <c r="J7" s="720">
        <v>2</v>
      </c>
      <c r="K7" s="720">
        <v>78</v>
      </c>
      <c r="L7" s="720">
        <v>1</v>
      </c>
      <c r="M7" s="720">
        <v>39</v>
      </c>
      <c r="N7" s="720"/>
      <c r="O7" s="720"/>
      <c r="P7" s="745"/>
      <c r="Q7" s="721"/>
    </row>
    <row r="8" spans="1:17" ht="14.45" customHeight="1" x14ac:dyDescent="0.2">
      <c r="A8" s="715" t="s">
        <v>518</v>
      </c>
      <c r="B8" s="716" t="s">
        <v>3034</v>
      </c>
      <c r="C8" s="716" t="s">
        <v>3029</v>
      </c>
      <c r="D8" s="716" t="s">
        <v>3039</v>
      </c>
      <c r="E8" s="716" t="s">
        <v>3040</v>
      </c>
      <c r="F8" s="720"/>
      <c r="G8" s="720"/>
      <c r="H8" s="720"/>
      <c r="I8" s="720"/>
      <c r="J8" s="720">
        <v>2</v>
      </c>
      <c r="K8" s="720">
        <v>3404</v>
      </c>
      <c r="L8" s="720">
        <v>1</v>
      </c>
      <c r="M8" s="720">
        <v>1702</v>
      </c>
      <c r="N8" s="720"/>
      <c r="O8" s="720"/>
      <c r="P8" s="745"/>
      <c r="Q8" s="721"/>
    </row>
    <row r="9" spans="1:17" ht="14.45" customHeight="1" x14ac:dyDescent="0.2">
      <c r="A9" s="715" t="s">
        <v>518</v>
      </c>
      <c r="B9" s="716" t="s">
        <v>3041</v>
      </c>
      <c r="C9" s="716" t="s">
        <v>3029</v>
      </c>
      <c r="D9" s="716" t="s">
        <v>3035</v>
      </c>
      <c r="E9" s="716" t="s">
        <v>3036</v>
      </c>
      <c r="F9" s="720">
        <v>3</v>
      </c>
      <c r="G9" s="720">
        <v>1890</v>
      </c>
      <c r="H9" s="720"/>
      <c r="I9" s="720">
        <v>630</v>
      </c>
      <c r="J9" s="720"/>
      <c r="K9" s="720"/>
      <c r="L9" s="720"/>
      <c r="M9" s="720"/>
      <c r="N9" s="720"/>
      <c r="O9" s="720"/>
      <c r="P9" s="745"/>
      <c r="Q9" s="721"/>
    </row>
    <row r="10" spans="1:17" ht="14.45" customHeight="1" x14ac:dyDescent="0.2">
      <c r="A10" s="715" t="s">
        <v>518</v>
      </c>
      <c r="B10" s="716" t="s">
        <v>3041</v>
      </c>
      <c r="C10" s="716" t="s">
        <v>3029</v>
      </c>
      <c r="D10" s="716" t="s">
        <v>3039</v>
      </c>
      <c r="E10" s="716" t="s">
        <v>3040</v>
      </c>
      <c r="F10" s="720">
        <v>9</v>
      </c>
      <c r="G10" s="720">
        <v>15309</v>
      </c>
      <c r="H10" s="720"/>
      <c r="I10" s="720">
        <v>1701</v>
      </c>
      <c r="J10" s="720"/>
      <c r="K10" s="720"/>
      <c r="L10" s="720"/>
      <c r="M10" s="720"/>
      <c r="N10" s="720"/>
      <c r="O10" s="720"/>
      <c r="P10" s="745"/>
      <c r="Q10" s="721"/>
    </row>
    <row r="11" spans="1:17" ht="14.45" customHeight="1" x14ac:dyDescent="0.2">
      <c r="A11" s="715" t="s">
        <v>518</v>
      </c>
      <c r="B11" s="716" t="s">
        <v>3041</v>
      </c>
      <c r="C11" s="716" t="s">
        <v>3029</v>
      </c>
      <c r="D11" s="716" t="s">
        <v>3042</v>
      </c>
      <c r="E11" s="716" t="s">
        <v>3043</v>
      </c>
      <c r="F11" s="720">
        <v>1</v>
      </c>
      <c r="G11" s="720">
        <v>1965</v>
      </c>
      <c r="H11" s="720"/>
      <c r="I11" s="720">
        <v>1965</v>
      </c>
      <c r="J11" s="720"/>
      <c r="K11" s="720"/>
      <c r="L11" s="720"/>
      <c r="M11" s="720"/>
      <c r="N11" s="720"/>
      <c r="O11" s="720"/>
      <c r="P11" s="745"/>
      <c r="Q11" s="721"/>
    </row>
    <row r="12" spans="1:17" ht="14.45" customHeight="1" x14ac:dyDescent="0.2">
      <c r="A12" s="715" t="s">
        <v>518</v>
      </c>
      <c r="B12" s="716" t="s">
        <v>3041</v>
      </c>
      <c r="C12" s="716" t="s">
        <v>3029</v>
      </c>
      <c r="D12" s="716" t="s">
        <v>3044</v>
      </c>
      <c r="E12" s="716" t="s">
        <v>3045</v>
      </c>
      <c r="F12" s="720">
        <v>1</v>
      </c>
      <c r="G12" s="720">
        <v>3950</v>
      </c>
      <c r="H12" s="720"/>
      <c r="I12" s="720">
        <v>3950</v>
      </c>
      <c r="J12" s="720"/>
      <c r="K12" s="720"/>
      <c r="L12" s="720"/>
      <c r="M12" s="720"/>
      <c r="N12" s="720"/>
      <c r="O12" s="720"/>
      <c r="P12" s="745"/>
      <c r="Q12" s="721"/>
    </row>
    <row r="13" spans="1:17" ht="14.45" customHeight="1" x14ac:dyDescent="0.2">
      <c r="A13" s="715" t="s">
        <v>518</v>
      </c>
      <c r="B13" s="716" t="s">
        <v>3041</v>
      </c>
      <c r="C13" s="716" t="s">
        <v>3029</v>
      </c>
      <c r="D13" s="716" t="s">
        <v>3046</v>
      </c>
      <c r="E13" s="716" t="s">
        <v>3047</v>
      </c>
      <c r="F13" s="720">
        <v>1</v>
      </c>
      <c r="G13" s="720">
        <v>2523</v>
      </c>
      <c r="H13" s="720">
        <v>0.49940617577197149</v>
      </c>
      <c r="I13" s="720">
        <v>2523</v>
      </c>
      <c r="J13" s="720">
        <v>2</v>
      </c>
      <c r="K13" s="720">
        <v>5052</v>
      </c>
      <c r="L13" s="720">
        <v>1</v>
      </c>
      <c r="M13" s="720">
        <v>2526</v>
      </c>
      <c r="N13" s="720"/>
      <c r="O13" s="720"/>
      <c r="P13" s="745"/>
      <c r="Q13" s="721"/>
    </row>
    <row r="14" spans="1:17" ht="14.45" customHeight="1" x14ac:dyDescent="0.2">
      <c r="A14" s="715" t="s">
        <v>518</v>
      </c>
      <c r="B14" s="716" t="s">
        <v>3041</v>
      </c>
      <c r="C14" s="716" t="s">
        <v>3029</v>
      </c>
      <c r="D14" s="716" t="s">
        <v>3048</v>
      </c>
      <c r="E14" s="716" t="s">
        <v>3049</v>
      </c>
      <c r="F14" s="720">
        <v>1</v>
      </c>
      <c r="G14" s="720">
        <v>3616</v>
      </c>
      <c r="H14" s="720">
        <v>0.99834345665378244</v>
      </c>
      <c r="I14" s="720">
        <v>3616</v>
      </c>
      <c r="J14" s="720">
        <v>1</v>
      </c>
      <c r="K14" s="720">
        <v>3622</v>
      </c>
      <c r="L14" s="720">
        <v>1</v>
      </c>
      <c r="M14" s="720">
        <v>3622</v>
      </c>
      <c r="N14" s="720"/>
      <c r="O14" s="720"/>
      <c r="P14" s="745"/>
      <c r="Q14" s="721"/>
    </row>
    <row r="15" spans="1:17" ht="14.45" customHeight="1" x14ac:dyDescent="0.2">
      <c r="A15" s="715" t="s">
        <v>518</v>
      </c>
      <c r="B15" s="716" t="s">
        <v>3041</v>
      </c>
      <c r="C15" s="716" t="s">
        <v>3029</v>
      </c>
      <c r="D15" s="716" t="s">
        <v>3050</v>
      </c>
      <c r="E15" s="716" t="s">
        <v>3051</v>
      </c>
      <c r="F15" s="720">
        <v>36</v>
      </c>
      <c r="G15" s="720">
        <v>99755</v>
      </c>
      <c r="H15" s="720">
        <v>1.0896112549289467</v>
      </c>
      <c r="I15" s="720">
        <v>2770.9722222222222</v>
      </c>
      <c r="J15" s="720">
        <v>33</v>
      </c>
      <c r="K15" s="720">
        <v>91551</v>
      </c>
      <c r="L15" s="720">
        <v>1</v>
      </c>
      <c r="M15" s="720">
        <v>2774.2727272727275</v>
      </c>
      <c r="N15" s="720">
        <v>15</v>
      </c>
      <c r="O15" s="720">
        <v>41790</v>
      </c>
      <c r="P15" s="745">
        <v>0.45646688730871315</v>
      </c>
      <c r="Q15" s="721">
        <v>2786</v>
      </c>
    </row>
    <row r="16" spans="1:17" ht="14.45" customHeight="1" x14ac:dyDescent="0.2">
      <c r="A16" s="715" t="s">
        <v>518</v>
      </c>
      <c r="B16" s="716" t="s">
        <v>3041</v>
      </c>
      <c r="C16" s="716" t="s">
        <v>3029</v>
      </c>
      <c r="D16" s="716" t="s">
        <v>3052</v>
      </c>
      <c r="E16" s="716" t="s">
        <v>3053</v>
      </c>
      <c r="F16" s="720">
        <v>8</v>
      </c>
      <c r="G16" s="720">
        <v>49384</v>
      </c>
      <c r="H16" s="720">
        <v>2.6636461704422869</v>
      </c>
      <c r="I16" s="720">
        <v>6173</v>
      </c>
      <c r="J16" s="720">
        <v>3</v>
      </c>
      <c r="K16" s="720">
        <v>18540</v>
      </c>
      <c r="L16" s="720">
        <v>1</v>
      </c>
      <c r="M16" s="720">
        <v>6180</v>
      </c>
      <c r="N16" s="720">
        <v>5</v>
      </c>
      <c r="O16" s="720">
        <v>31035</v>
      </c>
      <c r="P16" s="745">
        <v>1.6739482200647249</v>
      </c>
      <c r="Q16" s="721">
        <v>6207</v>
      </c>
    </row>
    <row r="17" spans="1:17" ht="14.45" customHeight="1" x14ac:dyDescent="0.2">
      <c r="A17" s="715" t="s">
        <v>518</v>
      </c>
      <c r="B17" s="716" t="s">
        <v>3041</v>
      </c>
      <c r="C17" s="716" t="s">
        <v>3029</v>
      </c>
      <c r="D17" s="716" t="s">
        <v>3054</v>
      </c>
      <c r="E17" s="716" t="s">
        <v>3055</v>
      </c>
      <c r="F17" s="720"/>
      <c r="G17" s="720"/>
      <c r="H17" s="720"/>
      <c r="I17" s="720"/>
      <c r="J17" s="720">
        <v>1</v>
      </c>
      <c r="K17" s="720">
        <v>3238</v>
      </c>
      <c r="L17" s="720">
        <v>1</v>
      </c>
      <c r="M17" s="720">
        <v>3238</v>
      </c>
      <c r="N17" s="720">
        <v>1</v>
      </c>
      <c r="O17" s="720">
        <v>3254</v>
      </c>
      <c r="P17" s="745">
        <v>1.0049413218035825</v>
      </c>
      <c r="Q17" s="721">
        <v>3254</v>
      </c>
    </row>
    <row r="18" spans="1:17" ht="14.45" customHeight="1" x14ac:dyDescent="0.2">
      <c r="A18" s="715" t="s">
        <v>518</v>
      </c>
      <c r="B18" s="716" t="s">
        <v>3041</v>
      </c>
      <c r="C18" s="716" t="s">
        <v>3029</v>
      </c>
      <c r="D18" s="716" t="s">
        <v>3056</v>
      </c>
      <c r="E18" s="716" t="s">
        <v>3057</v>
      </c>
      <c r="F18" s="720"/>
      <c r="G18" s="720"/>
      <c r="H18" s="720"/>
      <c r="I18" s="720"/>
      <c r="J18" s="720"/>
      <c r="K18" s="720"/>
      <c r="L18" s="720"/>
      <c r="M18" s="720"/>
      <c r="N18" s="720">
        <v>2</v>
      </c>
      <c r="O18" s="720">
        <v>4954</v>
      </c>
      <c r="P18" s="745"/>
      <c r="Q18" s="721">
        <v>2477</v>
      </c>
    </row>
    <row r="19" spans="1:17" ht="14.45" customHeight="1" x14ac:dyDescent="0.2">
      <c r="A19" s="715" t="s">
        <v>518</v>
      </c>
      <c r="B19" s="716" t="s">
        <v>3041</v>
      </c>
      <c r="C19" s="716" t="s">
        <v>3029</v>
      </c>
      <c r="D19" s="716" t="s">
        <v>3058</v>
      </c>
      <c r="E19" s="716" t="s">
        <v>3059</v>
      </c>
      <c r="F19" s="720">
        <v>1</v>
      </c>
      <c r="G19" s="720">
        <v>3480</v>
      </c>
      <c r="H19" s="720">
        <v>0.49928263988522237</v>
      </c>
      <c r="I19" s="720">
        <v>3480</v>
      </c>
      <c r="J19" s="720">
        <v>2</v>
      </c>
      <c r="K19" s="720">
        <v>6970</v>
      </c>
      <c r="L19" s="720">
        <v>1</v>
      </c>
      <c r="M19" s="720">
        <v>3485</v>
      </c>
      <c r="N19" s="720"/>
      <c r="O19" s="720"/>
      <c r="P19" s="745"/>
      <c r="Q19" s="721"/>
    </row>
    <row r="20" spans="1:17" ht="14.45" customHeight="1" x14ac:dyDescent="0.2">
      <c r="A20" s="715" t="s">
        <v>518</v>
      </c>
      <c r="B20" s="716" t="s">
        <v>3041</v>
      </c>
      <c r="C20" s="716" t="s">
        <v>3029</v>
      </c>
      <c r="D20" s="716" t="s">
        <v>3060</v>
      </c>
      <c r="E20" s="716" t="s">
        <v>3061</v>
      </c>
      <c r="F20" s="720">
        <v>34</v>
      </c>
      <c r="G20" s="720">
        <v>72964</v>
      </c>
      <c r="H20" s="720">
        <v>0.33612191122003354</v>
      </c>
      <c r="I20" s="720">
        <v>2146</v>
      </c>
      <c r="J20" s="720">
        <v>101</v>
      </c>
      <c r="K20" s="720">
        <v>217076</v>
      </c>
      <c r="L20" s="720">
        <v>1</v>
      </c>
      <c r="M20" s="720">
        <v>2149.2673267326732</v>
      </c>
      <c r="N20" s="720">
        <v>42</v>
      </c>
      <c r="O20" s="720">
        <v>90762</v>
      </c>
      <c r="P20" s="745">
        <v>0.41811162910685656</v>
      </c>
      <c r="Q20" s="721">
        <v>2161</v>
      </c>
    </row>
    <row r="21" spans="1:17" ht="14.45" customHeight="1" x14ac:dyDescent="0.2">
      <c r="A21" s="715" t="s">
        <v>518</v>
      </c>
      <c r="B21" s="716" t="s">
        <v>3041</v>
      </c>
      <c r="C21" s="716" t="s">
        <v>3029</v>
      </c>
      <c r="D21" s="716" t="s">
        <v>3062</v>
      </c>
      <c r="E21" s="716" t="s">
        <v>3063</v>
      </c>
      <c r="F21" s="720">
        <v>2</v>
      </c>
      <c r="G21" s="720">
        <v>3358</v>
      </c>
      <c r="H21" s="720">
        <v>0.49940511600237952</v>
      </c>
      <c r="I21" s="720">
        <v>1679</v>
      </c>
      <c r="J21" s="720">
        <v>4</v>
      </c>
      <c r="K21" s="720">
        <v>6724</v>
      </c>
      <c r="L21" s="720">
        <v>1</v>
      </c>
      <c r="M21" s="720">
        <v>1681</v>
      </c>
      <c r="N21" s="720">
        <v>1</v>
      </c>
      <c r="O21" s="720">
        <v>1688</v>
      </c>
      <c r="P21" s="745">
        <v>0.25104104699583579</v>
      </c>
      <c r="Q21" s="721">
        <v>1688</v>
      </c>
    </row>
    <row r="22" spans="1:17" ht="14.45" customHeight="1" x14ac:dyDescent="0.2">
      <c r="A22" s="715" t="s">
        <v>518</v>
      </c>
      <c r="B22" s="716" t="s">
        <v>3041</v>
      </c>
      <c r="C22" s="716" t="s">
        <v>3029</v>
      </c>
      <c r="D22" s="716" t="s">
        <v>3064</v>
      </c>
      <c r="E22" s="716" t="s">
        <v>3065</v>
      </c>
      <c r="F22" s="720">
        <v>7</v>
      </c>
      <c r="G22" s="720">
        <v>16204</v>
      </c>
      <c r="H22" s="720">
        <v>0.43680081947327276</v>
      </c>
      <c r="I22" s="720">
        <v>2314.8571428571427</v>
      </c>
      <c r="J22" s="720">
        <v>16</v>
      </c>
      <c r="K22" s="720">
        <v>37097</v>
      </c>
      <c r="L22" s="720">
        <v>1</v>
      </c>
      <c r="M22" s="720">
        <v>2318.5625</v>
      </c>
      <c r="N22" s="720">
        <v>4</v>
      </c>
      <c r="O22" s="720">
        <v>9320</v>
      </c>
      <c r="P22" s="745">
        <v>0.25123325336280561</v>
      </c>
      <c r="Q22" s="721">
        <v>2330</v>
      </c>
    </row>
    <row r="23" spans="1:17" ht="14.45" customHeight="1" x14ac:dyDescent="0.2">
      <c r="A23" s="715" t="s">
        <v>518</v>
      </c>
      <c r="B23" s="716" t="s">
        <v>3041</v>
      </c>
      <c r="C23" s="716" t="s">
        <v>3029</v>
      </c>
      <c r="D23" s="716" t="s">
        <v>3066</v>
      </c>
      <c r="E23" s="716" t="s">
        <v>3067</v>
      </c>
      <c r="F23" s="720">
        <v>28</v>
      </c>
      <c r="G23" s="720">
        <v>77559</v>
      </c>
      <c r="H23" s="720">
        <v>0.75584726932522517</v>
      </c>
      <c r="I23" s="720">
        <v>2769.9642857142858</v>
      </c>
      <c r="J23" s="720">
        <v>37</v>
      </c>
      <c r="K23" s="720">
        <v>102612</v>
      </c>
      <c r="L23" s="720">
        <v>1</v>
      </c>
      <c r="M23" s="720">
        <v>2773.2972972972975</v>
      </c>
      <c r="N23" s="720">
        <v>27</v>
      </c>
      <c r="O23" s="720">
        <v>75195</v>
      </c>
      <c r="P23" s="745">
        <v>0.7328090281838382</v>
      </c>
      <c r="Q23" s="721">
        <v>2785</v>
      </c>
    </row>
    <row r="24" spans="1:17" ht="14.45" customHeight="1" x14ac:dyDescent="0.2">
      <c r="A24" s="715" t="s">
        <v>518</v>
      </c>
      <c r="B24" s="716" t="s">
        <v>3041</v>
      </c>
      <c r="C24" s="716" t="s">
        <v>3029</v>
      </c>
      <c r="D24" s="716" t="s">
        <v>3068</v>
      </c>
      <c r="E24" s="716" t="s">
        <v>3069</v>
      </c>
      <c r="F24" s="720"/>
      <c r="G24" s="720"/>
      <c r="H24" s="720"/>
      <c r="I24" s="720"/>
      <c r="J24" s="720">
        <v>1</v>
      </c>
      <c r="K24" s="720">
        <v>3326</v>
      </c>
      <c r="L24" s="720">
        <v>1</v>
      </c>
      <c r="M24" s="720">
        <v>3326</v>
      </c>
      <c r="N24" s="720"/>
      <c r="O24" s="720"/>
      <c r="P24" s="745"/>
      <c r="Q24" s="721"/>
    </row>
    <row r="25" spans="1:17" ht="14.45" customHeight="1" x14ac:dyDescent="0.2">
      <c r="A25" s="715" t="s">
        <v>518</v>
      </c>
      <c r="B25" s="716" t="s">
        <v>3041</v>
      </c>
      <c r="C25" s="716" t="s">
        <v>3029</v>
      </c>
      <c r="D25" s="716" t="s">
        <v>3070</v>
      </c>
      <c r="E25" s="716" t="s">
        <v>3071</v>
      </c>
      <c r="F25" s="720">
        <v>1</v>
      </c>
      <c r="G25" s="720">
        <v>96</v>
      </c>
      <c r="H25" s="720"/>
      <c r="I25" s="720">
        <v>96</v>
      </c>
      <c r="J25" s="720"/>
      <c r="K25" s="720"/>
      <c r="L25" s="720"/>
      <c r="M25" s="720"/>
      <c r="N25" s="720"/>
      <c r="O25" s="720"/>
      <c r="P25" s="745"/>
      <c r="Q25" s="721"/>
    </row>
    <row r="26" spans="1:17" ht="14.45" customHeight="1" x14ac:dyDescent="0.2">
      <c r="A26" s="715" t="s">
        <v>518</v>
      </c>
      <c r="B26" s="716" t="s">
        <v>3041</v>
      </c>
      <c r="C26" s="716" t="s">
        <v>3029</v>
      </c>
      <c r="D26" s="716" t="s">
        <v>3072</v>
      </c>
      <c r="E26" s="716" t="s">
        <v>3073</v>
      </c>
      <c r="F26" s="720">
        <v>1</v>
      </c>
      <c r="G26" s="720">
        <v>2466</v>
      </c>
      <c r="H26" s="720"/>
      <c r="I26" s="720">
        <v>2466</v>
      </c>
      <c r="J26" s="720"/>
      <c r="K26" s="720"/>
      <c r="L26" s="720"/>
      <c r="M26" s="720"/>
      <c r="N26" s="720"/>
      <c r="O26" s="720"/>
      <c r="P26" s="745"/>
      <c r="Q26" s="721"/>
    </row>
    <row r="27" spans="1:17" ht="14.45" customHeight="1" x14ac:dyDescent="0.2">
      <c r="A27" s="715" t="s">
        <v>518</v>
      </c>
      <c r="B27" s="716" t="s">
        <v>3041</v>
      </c>
      <c r="C27" s="716" t="s">
        <v>3029</v>
      </c>
      <c r="D27" s="716" t="s">
        <v>3074</v>
      </c>
      <c r="E27" s="716" t="s">
        <v>3075</v>
      </c>
      <c r="F27" s="720">
        <v>2</v>
      </c>
      <c r="G27" s="720">
        <v>10296</v>
      </c>
      <c r="H27" s="720">
        <v>1</v>
      </c>
      <c r="I27" s="720">
        <v>5148</v>
      </c>
      <c r="J27" s="720">
        <v>2</v>
      </c>
      <c r="K27" s="720">
        <v>10296</v>
      </c>
      <c r="L27" s="720">
        <v>1</v>
      </c>
      <c r="M27" s="720">
        <v>5148</v>
      </c>
      <c r="N27" s="720">
        <v>9</v>
      </c>
      <c r="O27" s="720">
        <v>46332</v>
      </c>
      <c r="P27" s="745">
        <v>4.5</v>
      </c>
      <c r="Q27" s="721">
        <v>5148</v>
      </c>
    </row>
    <row r="28" spans="1:17" ht="14.45" customHeight="1" x14ac:dyDescent="0.2">
      <c r="A28" s="715" t="s">
        <v>518</v>
      </c>
      <c r="B28" s="716" t="s">
        <v>3041</v>
      </c>
      <c r="C28" s="716" t="s">
        <v>3029</v>
      </c>
      <c r="D28" s="716" t="s">
        <v>3076</v>
      </c>
      <c r="E28" s="716" t="s">
        <v>3077</v>
      </c>
      <c r="F28" s="720">
        <v>1</v>
      </c>
      <c r="G28" s="720">
        <v>4937</v>
      </c>
      <c r="H28" s="720"/>
      <c r="I28" s="720">
        <v>4937</v>
      </c>
      <c r="J28" s="720"/>
      <c r="K28" s="720"/>
      <c r="L28" s="720"/>
      <c r="M28" s="720"/>
      <c r="N28" s="720">
        <v>2</v>
      </c>
      <c r="O28" s="720">
        <v>9888</v>
      </c>
      <c r="P28" s="745"/>
      <c r="Q28" s="721">
        <v>4944</v>
      </c>
    </row>
    <row r="29" spans="1:17" ht="14.45" customHeight="1" x14ac:dyDescent="0.2">
      <c r="A29" s="715" t="s">
        <v>518</v>
      </c>
      <c r="B29" s="716" t="s">
        <v>3041</v>
      </c>
      <c r="C29" s="716" t="s">
        <v>3029</v>
      </c>
      <c r="D29" s="716" t="s">
        <v>3078</v>
      </c>
      <c r="E29" s="716" t="s">
        <v>3079</v>
      </c>
      <c r="F29" s="720"/>
      <c r="G29" s="720"/>
      <c r="H29" s="720"/>
      <c r="I29" s="720"/>
      <c r="J29" s="720">
        <v>3</v>
      </c>
      <c r="K29" s="720">
        <v>2136</v>
      </c>
      <c r="L29" s="720">
        <v>1</v>
      </c>
      <c r="M29" s="720">
        <v>712</v>
      </c>
      <c r="N29" s="720">
        <v>3</v>
      </c>
      <c r="O29" s="720">
        <v>2535</v>
      </c>
      <c r="P29" s="745">
        <v>1.1867977528089888</v>
      </c>
      <c r="Q29" s="721">
        <v>845</v>
      </c>
    </row>
    <row r="30" spans="1:17" ht="14.45" customHeight="1" x14ac:dyDescent="0.2">
      <c r="A30" s="715" t="s">
        <v>518</v>
      </c>
      <c r="B30" s="716" t="s">
        <v>3041</v>
      </c>
      <c r="C30" s="716" t="s">
        <v>3029</v>
      </c>
      <c r="D30" s="716" t="s">
        <v>3080</v>
      </c>
      <c r="E30" s="716" t="s">
        <v>3081</v>
      </c>
      <c r="F30" s="720"/>
      <c r="G30" s="720"/>
      <c r="H30" s="720"/>
      <c r="I30" s="720"/>
      <c r="J30" s="720">
        <v>1</v>
      </c>
      <c r="K30" s="720">
        <v>9810</v>
      </c>
      <c r="L30" s="720">
        <v>1</v>
      </c>
      <c r="M30" s="720">
        <v>9810</v>
      </c>
      <c r="N30" s="720"/>
      <c r="O30" s="720"/>
      <c r="P30" s="745"/>
      <c r="Q30" s="721"/>
    </row>
    <row r="31" spans="1:17" ht="14.45" customHeight="1" x14ac:dyDescent="0.2">
      <c r="A31" s="715" t="s">
        <v>518</v>
      </c>
      <c r="B31" s="716" t="s">
        <v>3041</v>
      </c>
      <c r="C31" s="716" t="s">
        <v>3029</v>
      </c>
      <c r="D31" s="716" t="s">
        <v>3082</v>
      </c>
      <c r="E31" s="716" t="s">
        <v>3083</v>
      </c>
      <c r="F31" s="720"/>
      <c r="G31" s="720"/>
      <c r="H31" s="720"/>
      <c r="I31" s="720"/>
      <c r="J31" s="720"/>
      <c r="K31" s="720"/>
      <c r="L31" s="720"/>
      <c r="M31" s="720"/>
      <c r="N31" s="720">
        <v>2</v>
      </c>
      <c r="O31" s="720">
        <v>9896</v>
      </c>
      <c r="P31" s="745"/>
      <c r="Q31" s="721">
        <v>4948</v>
      </c>
    </row>
    <row r="32" spans="1:17" ht="14.45" customHeight="1" x14ac:dyDescent="0.2">
      <c r="A32" s="715" t="s">
        <v>518</v>
      </c>
      <c r="B32" s="716" t="s">
        <v>3041</v>
      </c>
      <c r="C32" s="716" t="s">
        <v>3029</v>
      </c>
      <c r="D32" s="716" t="s">
        <v>3084</v>
      </c>
      <c r="E32" s="716" t="s">
        <v>3085</v>
      </c>
      <c r="F32" s="720"/>
      <c r="G32" s="720"/>
      <c r="H32" s="720"/>
      <c r="I32" s="720"/>
      <c r="J32" s="720"/>
      <c r="K32" s="720"/>
      <c r="L32" s="720"/>
      <c r="M32" s="720"/>
      <c r="N32" s="720">
        <v>1</v>
      </c>
      <c r="O32" s="720">
        <v>685</v>
      </c>
      <c r="P32" s="745"/>
      <c r="Q32" s="721">
        <v>685</v>
      </c>
    </row>
    <row r="33" spans="1:17" ht="14.45" customHeight="1" x14ac:dyDescent="0.2">
      <c r="A33" s="715" t="s">
        <v>518</v>
      </c>
      <c r="B33" s="716" t="s">
        <v>3041</v>
      </c>
      <c r="C33" s="716" t="s">
        <v>3029</v>
      </c>
      <c r="D33" s="716" t="s">
        <v>3086</v>
      </c>
      <c r="E33" s="716" t="s">
        <v>3087</v>
      </c>
      <c r="F33" s="720">
        <v>1</v>
      </c>
      <c r="G33" s="720">
        <v>1709</v>
      </c>
      <c r="H33" s="720"/>
      <c r="I33" s="720">
        <v>1709</v>
      </c>
      <c r="J33" s="720"/>
      <c r="K33" s="720"/>
      <c r="L33" s="720"/>
      <c r="M33" s="720"/>
      <c r="N33" s="720"/>
      <c r="O33" s="720"/>
      <c r="P33" s="745"/>
      <c r="Q33" s="721"/>
    </row>
    <row r="34" spans="1:17" ht="14.45" customHeight="1" x14ac:dyDescent="0.2">
      <c r="A34" s="715" t="s">
        <v>518</v>
      </c>
      <c r="B34" s="716" t="s">
        <v>3041</v>
      </c>
      <c r="C34" s="716" t="s">
        <v>3029</v>
      </c>
      <c r="D34" s="716" t="s">
        <v>3088</v>
      </c>
      <c r="E34" s="716" t="s">
        <v>3089</v>
      </c>
      <c r="F34" s="720">
        <v>22</v>
      </c>
      <c r="G34" s="720">
        <v>18414</v>
      </c>
      <c r="H34" s="720">
        <v>0.87790226460071519</v>
      </c>
      <c r="I34" s="720">
        <v>837</v>
      </c>
      <c r="J34" s="720">
        <v>25</v>
      </c>
      <c r="K34" s="720">
        <v>20975</v>
      </c>
      <c r="L34" s="720">
        <v>1</v>
      </c>
      <c r="M34" s="720">
        <v>839</v>
      </c>
      <c r="N34" s="720">
        <v>15</v>
      </c>
      <c r="O34" s="720">
        <v>12690</v>
      </c>
      <c r="P34" s="745">
        <v>0.60500595947556612</v>
      </c>
      <c r="Q34" s="721">
        <v>846</v>
      </c>
    </row>
    <row r="35" spans="1:17" ht="14.45" customHeight="1" x14ac:dyDescent="0.2">
      <c r="A35" s="715" t="s">
        <v>518</v>
      </c>
      <c r="B35" s="716" t="s">
        <v>3041</v>
      </c>
      <c r="C35" s="716" t="s">
        <v>3029</v>
      </c>
      <c r="D35" s="716" t="s">
        <v>3090</v>
      </c>
      <c r="E35" s="716" t="s">
        <v>3091</v>
      </c>
      <c r="F35" s="720">
        <v>1</v>
      </c>
      <c r="G35" s="720">
        <v>2501</v>
      </c>
      <c r="H35" s="720"/>
      <c r="I35" s="720">
        <v>2501</v>
      </c>
      <c r="J35" s="720"/>
      <c r="K35" s="720"/>
      <c r="L35" s="720"/>
      <c r="M35" s="720"/>
      <c r="N35" s="720"/>
      <c r="O35" s="720"/>
      <c r="P35" s="745"/>
      <c r="Q35" s="721"/>
    </row>
    <row r="36" spans="1:17" ht="14.45" customHeight="1" x14ac:dyDescent="0.2">
      <c r="A36" s="715" t="s">
        <v>518</v>
      </c>
      <c r="B36" s="716" t="s">
        <v>3041</v>
      </c>
      <c r="C36" s="716" t="s">
        <v>3029</v>
      </c>
      <c r="D36" s="716" t="s">
        <v>3092</v>
      </c>
      <c r="E36" s="716" t="s">
        <v>3093</v>
      </c>
      <c r="F36" s="720">
        <v>15</v>
      </c>
      <c r="G36" s="720">
        <v>0</v>
      </c>
      <c r="H36" s="720"/>
      <c r="I36" s="720">
        <v>0</v>
      </c>
      <c r="J36" s="720">
        <v>3</v>
      </c>
      <c r="K36" s="720">
        <v>0</v>
      </c>
      <c r="L36" s="720"/>
      <c r="M36" s="720">
        <v>0</v>
      </c>
      <c r="N36" s="720">
        <v>7</v>
      </c>
      <c r="O36" s="720">
        <v>0</v>
      </c>
      <c r="P36" s="745"/>
      <c r="Q36" s="721">
        <v>0</v>
      </c>
    </row>
    <row r="37" spans="1:17" ht="14.45" customHeight="1" x14ac:dyDescent="0.2">
      <c r="A37" s="715" t="s">
        <v>518</v>
      </c>
      <c r="B37" s="716" t="s">
        <v>3041</v>
      </c>
      <c r="C37" s="716" t="s">
        <v>3029</v>
      </c>
      <c r="D37" s="716" t="s">
        <v>3094</v>
      </c>
      <c r="E37" s="716" t="s">
        <v>3095</v>
      </c>
      <c r="F37" s="720">
        <v>2</v>
      </c>
      <c r="G37" s="720">
        <v>0</v>
      </c>
      <c r="H37" s="720"/>
      <c r="I37" s="720">
        <v>0</v>
      </c>
      <c r="J37" s="720"/>
      <c r="K37" s="720"/>
      <c r="L37" s="720"/>
      <c r="M37" s="720"/>
      <c r="N37" s="720"/>
      <c r="O37" s="720"/>
      <c r="P37" s="745"/>
      <c r="Q37" s="721"/>
    </row>
    <row r="38" spans="1:17" ht="14.45" customHeight="1" x14ac:dyDescent="0.2">
      <c r="A38" s="715" t="s">
        <v>518</v>
      </c>
      <c r="B38" s="716" t="s">
        <v>3041</v>
      </c>
      <c r="C38" s="716" t="s">
        <v>3029</v>
      </c>
      <c r="D38" s="716" t="s">
        <v>3096</v>
      </c>
      <c r="E38" s="716" t="s">
        <v>3097</v>
      </c>
      <c r="F38" s="720">
        <v>5</v>
      </c>
      <c r="G38" s="720">
        <v>0</v>
      </c>
      <c r="H38" s="720"/>
      <c r="I38" s="720">
        <v>0</v>
      </c>
      <c r="J38" s="720"/>
      <c r="K38" s="720"/>
      <c r="L38" s="720"/>
      <c r="M38" s="720"/>
      <c r="N38" s="720"/>
      <c r="O38" s="720"/>
      <c r="P38" s="745"/>
      <c r="Q38" s="721"/>
    </row>
    <row r="39" spans="1:17" ht="14.45" customHeight="1" x14ac:dyDescent="0.2">
      <c r="A39" s="715" t="s">
        <v>518</v>
      </c>
      <c r="B39" s="716" t="s">
        <v>3041</v>
      </c>
      <c r="C39" s="716" t="s">
        <v>3029</v>
      </c>
      <c r="D39" s="716" t="s">
        <v>3098</v>
      </c>
      <c r="E39" s="716" t="s">
        <v>3099</v>
      </c>
      <c r="F39" s="720">
        <v>3</v>
      </c>
      <c r="G39" s="720">
        <v>0</v>
      </c>
      <c r="H39" s="720"/>
      <c r="I39" s="720">
        <v>0</v>
      </c>
      <c r="J39" s="720"/>
      <c r="K39" s="720"/>
      <c r="L39" s="720"/>
      <c r="M39" s="720"/>
      <c r="N39" s="720"/>
      <c r="O39" s="720"/>
      <c r="P39" s="745"/>
      <c r="Q39" s="721"/>
    </row>
    <row r="40" spans="1:17" ht="14.45" customHeight="1" x14ac:dyDescent="0.2">
      <c r="A40" s="715" t="s">
        <v>518</v>
      </c>
      <c r="B40" s="716" t="s">
        <v>3041</v>
      </c>
      <c r="C40" s="716" t="s">
        <v>3029</v>
      </c>
      <c r="D40" s="716" t="s">
        <v>3100</v>
      </c>
      <c r="E40" s="716" t="s">
        <v>3101</v>
      </c>
      <c r="F40" s="720">
        <v>2</v>
      </c>
      <c r="G40" s="720">
        <v>0</v>
      </c>
      <c r="H40" s="720"/>
      <c r="I40" s="720">
        <v>0</v>
      </c>
      <c r="J40" s="720"/>
      <c r="K40" s="720"/>
      <c r="L40" s="720"/>
      <c r="M40" s="720"/>
      <c r="N40" s="720">
        <v>1</v>
      </c>
      <c r="O40" s="720">
        <v>0</v>
      </c>
      <c r="P40" s="745"/>
      <c r="Q40" s="721">
        <v>0</v>
      </c>
    </row>
    <row r="41" spans="1:17" ht="14.45" customHeight="1" x14ac:dyDescent="0.2">
      <c r="A41" s="715" t="s">
        <v>518</v>
      </c>
      <c r="B41" s="716" t="s">
        <v>3041</v>
      </c>
      <c r="C41" s="716" t="s">
        <v>3029</v>
      </c>
      <c r="D41" s="716" t="s">
        <v>3102</v>
      </c>
      <c r="E41" s="716" t="s">
        <v>3103</v>
      </c>
      <c r="F41" s="720">
        <v>3</v>
      </c>
      <c r="G41" s="720">
        <v>0</v>
      </c>
      <c r="H41" s="720"/>
      <c r="I41" s="720">
        <v>0</v>
      </c>
      <c r="J41" s="720"/>
      <c r="K41" s="720"/>
      <c r="L41" s="720"/>
      <c r="M41" s="720"/>
      <c r="N41" s="720"/>
      <c r="O41" s="720"/>
      <c r="P41" s="745"/>
      <c r="Q41" s="721"/>
    </row>
    <row r="42" spans="1:17" ht="14.45" customHeight="1" x14ac:dyDescent="0.2">
      <c r="A42" s="715" t="s">
        <v>518</v>
      </c>
      <c r="B42" s="716" t="s">
        <v>3041</v>
      </c>
      <c r="C42" s="716" t="s">
        <v>3029</v>
      </c>
      <c r="D42" s="716" t="s">
        <v>3102</v>
      </c>
      <c r="E42" s="716" t="s">
        <v>3104</v>
      </c>
      <c r="F42" s="720"/>
      <c r="G42" s="720"/>
      <c r="H42" s="720"/>
      <c r="I42" s="720"/>
      <c r="J42" s="720">
        <v>1</v>
      </c>
      <c r="K42" s="720">
        <v>0</v>
      </c>
      <c r="L42" s="720"/>
      <c r="M42" s="720">
        <v>0</v>
      </c>
      <c r="N42" s="720"/>
      <c r="O42" s="720"/>
      <c r="P42" s="745"/>
      <c r="Q42" s="721"/>
    </row>
    <row r="43" spans="1:17" ht="14.45" customHeight="1" x14ac:dyDescent="0.2">
      <c r="A43" s="715" t="s">
        <v>518</v>
      </c>
      <c r="B43" s="716" t="s">
        <v>3041</v>
      </c>
      <c r="C43" s="716" t="s">
        <v>3029</v>
      </c>
      <c r="D43" s="716" t="s">
        <v>3105</v>
      </c>
      <c r="E43" s="716" t="s">
        <v>3106</v>
      </c>
      <c r="F43" s="720"/>
      <c r="G43" s="720"/>
      <c r="H43" s="720"/>
      <c r="I43" s="720"/>
      <c r="J43" s="720"/>
      <c r="K43" s="720"/>
      <c r="L43" s="720"/>
      <c r="M43" s="720"/>
      <c r="N43" s="720">
        <v>1</v>
      </c>
      <c r="O43" s="720">
        <v>0</v>
      </c>
      <c r="P43" s="745"/>
      <c r="Q43" s="721">
        <v>0</v>
      </c>
    </row>
    <row r="44" spans="1:17" ht="14.45" customHeight="1" x14ac:dyDescent="0.2">
      <c r="A44" s="715" t="s">
        <v>518</v>
      </c>
      <c r="B44" s="716" t="s">
        <v>3041</v>
      </c>
      <c r="C44" s="716" t="s">
        <v>3029</v>
      </c>
      <c r="D44" s="716" t="s">
        <v>3107</v>
      </c>
      <c r="E44" s="716" t="s">
        <v>3108</v>
      </c>
      <c r="F44" s="720">
        <v>2</v>
      </c>
      <c r="G44" s="720">
        <v>0</v>
      </c>
      <c r="H44" s="720"/>
      <c r="I44" s="720">
        <v>0</v>
      </c>
      <c r="J44" s="720"/>
      <c r="K44" s="720"/>
      <c r="L44" s="720"/>
      <c r="M44" s="720"/>
      <c r="N44" s="720">
        <v>1</v>
      </c>
      <c r="O44" s="720">
        <v>0</v>
      </c>
      <c r="P44" s="745"/>
      <c r="Q44" s="721">
        <v>0</v>
      </c>
    </row>
    <row r="45" spans="1:17" ht="14.45" customHeight="1" x14ac:dyDescent="0.2">
      <c r="A45" s="715" t="s">
        <v>518</v>
      </c>
      <c r="B45" s="716" t="s">
        <v>3041</v>
      </c>
      <c r="C45" s="716" t="s">
        <v>3029</v>
      </c>
      <c r="D45" s="716" t="s">
        <v>3109</v>
      </c>
      <c r="E45" s="716" t="s">
        <v>3110</v>
      </c>
      <c r="F45" s="720">
        <v>1</v>
      </c>
      <c r="G45" s="720">
        <v>0</v>
      </c>
      <c r="H45" s="720"/>
      <c r="I45" s="720">
        <v>0</v>
      </c>
      <c r="J45" s="720"/>
      <c r="K45" s="720"/>
      <c r="L45" s="720"/>
      <c r="M45" s="720"/>
      <c r="N45" s="720"/>
      <c r="O45" s="720"/>
      <c r="P45" s="745"/>
      <c r="Q45" s="721"/>
    </row>
    <row r="46" spans="1:17" ht="14.45" customHeight="1" x14ac:dyDescent="0.2">
      <c r="A46" s="715" t="s">
        <v>518</v>
      </c>
      <c r="B46" s="716" t="s">
        <v>3041</v>
      </c>
      <c r="C46" s="716" t="s">
        <v>3029</v>
      </c>
      <c r="D46" s="716" t="s">
        <v>3111</v>
      </c>
      <c r="E46" s="716" t="s">
        <v>3112</v>
      </c>
      <c r="F46" s="720"/>
      <c r="G46" s="720"/>
      <c r="H46" s="720"/>
      <c r="I46" s="720"/>
      <c r="J46" s="720">
        <v>1</v>
      </c>
      <c r="K46" s="720">
        <v>0</v>
      </c>
      <c r="L46" s="720"/>
      <c r="M46" s="720">
        <v>0</v>
      </c>
      <c r="N46" s="720"/>
      <c r="O46" s="720"/>
      <c r="P46" s="745"/>
      <c r="Q46" s="721"/>
    </row>
    <row r="47" spans="1:17" ht="14.45" customHeight="1" x14ac:dyDescent="0.2">
      <c r="A47" s="715" t="s">
        <v>518</v>
      </c>
      <c r="B47" s="716" t="s">
        <v>3041</v>
      </c>
      <c r="C47" s="716" t="s">
        <v>3029</v>
      </c>
      <c r="D47" s="716" t="s">
        <v>3113</v>
      </c>
      <c r="E47" s="716" t="s">
        <v>3114</v>
      </c>
      <c r="F47" s="720"/>
      <c r="G47" s="720"/>
      <c r="H47" s="720"/>
      <c r="I47" s="720"/>
      <c r="J47" s="720">
        <v>1</v>
      </c>
      <c r="K47" s="720">
        <v>0</v>
      </c>
      <c r="L47" s="720"/>
      <c r="M47" s="720">
        <v>0</v>
      </c>
      <c r="N47" s="720">
        <v>1</v>
      </c>
      <c r="O47" s="720">
        <v>0</v>
      </c>
      <c r="P47" s="745"/>
      <c r="Q47" s="721">
        <v>0</v>
      </c>
    </row>
    <row r="48" spans="1:17" ht="14.45" customHeight="1" x14ac:dyDescent="0.2">
      <c r="A48" s="715" t="s">
        <v>518</v>
      </c>
      <c r="B48" s="716" t="s">
        <v>3041</v>
      </c>
      <c r="C48" s="716" t="s">
        <v>3029</v>
      </c>
      <c r="D48" s="716" t="s">
        <v>3115</v>
      </c>
      <c r="E48" s="716" t="s">
        <v>3116</v>
      </c>
      <c r="F48" s="720"/>
      <c r="G48" s="720"/>
      <c r="H48" s="720"/>
      <c r="I48" s="720"/>
      <c r="J48" s="720">
        <v>1</v>
      </c>
      <c r="K48" s="720">
        <v>0</v>
      </c>
      <c r="L48" s="720"/>
      <c r="M48" s="720">
        <v>0</v>
      </c>
      <c r="N48" s="720">
        <v>2</v>
      </c>
      <c r="O48" s="720">
        <v>0</v>
      </c>
      <c r="P48" s="745"/>
      <c r="Q48" s="721">
        <v>0</v>
      </c>
    </row>
    <row r="49" spans="1:17" ht="14.45" customHeight="1" x14ac:dyDescent="0.2">
      <c r="A49" s="715" t="s">
        <v>518</v>
      </c>
      <c r="B49" s="716" t="s">
        <v>3041</v>
      </c>
      <c r="C49" s="716" t="s">
        <v>3029</v>
      </c>
      <c r="D49" s="716" t="s">
        <v>3117</v>
      </c>
      <c r="E49" s="716" t="s">
        <v>3118</v>
      </c>
      <c r="F49" s="720">
        <v>2</v>
      </c>
      <c r="G49" s="720">
        <v>0</v>
      </c>
      <c r="H49" s="720"/>
      <c r="I49" s="720">
        <v>0</v>
      </c>
      <c r="J49" s="720"/>
      <c r="K49" s="720"/>
      <c r="L49" s="720"/>
      <c r="M49" s="720"/>
      <c r="N49" s="720"/>
      <c r="O49" s="720"/>
      <c r="P49" s="745"/>
      <c r="Q49" s="721"/>
    </row>
    <row r="50" spans="1:17" ht="14.45" customHeight="1" x14ac:dyDescent="0.2">
      <c r="A50" s="715" t="s">
        <v>518</v>
      </c>
      <c r="B50" s="716" t="s">
        <v>3041</v>
      </c>
      <c r="C50" s="716" t="s">
        <v>3029</v>
      </c>
      <c r="D50" s="716" t="s">
        <v>3119</v>
      </c>
      <c r="E50" s="716" t="s">
        <v>3120</v>
      </c>
      <c r="F50" s="720">
        <v>1</v>
      </c>
      <c r="G50" s="720">
        <v>0</v>
      </c>
      <c r="H50" s="720"/>
      <c r="I50" s="720">
        <v>0</v>
      </c>
      <c r="J50" s="720"/>
      <c r="K50" s="720"/>
      <c r="L50" s="720"/>
      <c r="M50" s="720"/>
      <c r="N50" s="720"/>
      <c r="O50" s="720"/>
      <c r="P50" s="745"/>
      <c r="Q50" s="721"/>
    </row>
    <row r="51" spans="1:17" ht="14.45" customHeight="1" x14ac:dyDescent="0.2">
      <c r="A51" s="715" t="s">
        <v>518</v>
      </c>
      <c r="B51" s="716" t="s">
        <v>3041</v>
      </c>
      <c r="C51" s="716" t="s">
        <v>3029</v>
      </c>
      <c r="D51" s="716" t="s">
        <v>3121</v>
      </c>
      <c r="E51" s="716" t="s">
        <v>3122</v>
      </c>
      <c r="F51" s="720"/>
      <c r="G51" s="720"/>
      <c r="H51" s="720"/>
      <c r="I51" s="720"/>
      <c r="J51" s="720"/>
      <c r="K51" s="720"/>
      <c r="L51" s="720"/>
      <c r="M51" s="720"/>
      <c r="N51" s="720">
        <v>1</v>
      </c>
      <c r="O51" s="720">
        <v>0</v>
      </c>
      <c r="P51" s="745"/>
      <c r="Q51" s="721">
        <v>0</v>
      </c>
    </row>
    <row r="52" spans="1:17" ht="14.45" customHeight="1" x14ac:dyDescent="0.2">
      <c r="A52" s="715" t="s">
        <v>518</v>
      </c>
      <c r="B52" s="716" t="s">
        <v>3041</v>
      </c>
      <c r="C52" s="716" t="s">
        <v>3029</v>
      </c>
      <c r="D52" s="716" t="s">
        <v>3123</v>
      </c>
      <c r="E52" s="716" t="s">
        <v>3124</v>
      </c>
      <c r="F52" s="720">
        <v>1</v>
      </c>
      <c r="G52" s="720">
        <v>0</v>
      </c>
      <c r="H52" s="720"/>
      <c r="I52" s="720">
        <v>0</v>
      </c>
      <c r="J52" s="720"/>
      <c r="K52" s="720"/>
      <c r="L52" s="720"/>
      <c r="M52" s="720"/>
      <c r="N52" s="720">
        <v>1</v>
      </c>
      <c r="O52" s="720">
        <v>0</v>
      </c>
      <c r="P52" s="745"/>
      <c r="Q52" s="721">
        <v>0</v>
      </c>
    </row>
    <row r="53" spans="1:17" ht="14.45" customHeight="1" x14ac:dyDescent="0.2">
      <c r="A53" s="715" t="s">
        <v>518</v>
      </c>
      <c r="B53" s="716" t="s">
        <v>3041</v>
      </c>
      <c r="C53" s="716" t="s">
        <v>3029</v>
      </c>
      <c r="D53" s="716" t="s">
        <v>3125</v>
      </c>
      <c r="E53" s="716" t="s">
        <v>3126</v>
      </c>
      <c r="F53" s="720"/>
      <c r="G53" s="720"/>
      <c r="H53" s="720"/>
      <c r="I53" s="720"/>
      <c r="J53" s="720">
        <v>1</v>
      </c>
      <c r="K53" s="720">
        <v>0</v>
      </c>
      <c r="L53" s="720"/>
      <c r="M53" s="720">
        <v>0</v>
      </c>
      <c r="N53" s="720"/>
      <c r="O53" s="720"/>
      <c r="P53" s="745"/>
      <c r="Q53" s="721"/>
    </row>
    <row r="54" spans="1:17" ht="14.45" customHeight="1" x14ac:dyDescent="0.2">
      <c r="A54" s="715" t="s">
        <v>518</v>
      </c>
      <c r="B54" s="716" t="s">
        <v>3041</v>
      </c>
      <c r="C54" s="716" t="s">
        <v>3029</v>
      </c>
      <c r="D54" s="716" t="s">
        <v>3127</v>
      </c>
      <c r="E54" s="716" t="s">
        <v>3128</v>
      </c>
      <c r="F54" s="720">
        <v>12</v>
      </c>
      <c r="G54" s="720">
        <v>0</v>
      </c>
      <c r="H54" s="720"/>
      <c r="I54" s="720">
        <v>0</v>
      </c>
      <c r="J54" s="720">
        <v>2</v>
      </c>
      <c r="K54" s="720">
        <v>0</v>
      </c>
      <c r="L54" s="720"/>
      <c r="M54" s="720">
        <v>0</v>
      </c>
      <c r="N54" s="720">
        <v>2</v>
      </c>
      <c r="O54" s="720">
        <v>0</v>
      </c>
      <c r="P54" s="745"/>
      <c r="Q54" s="721">
        <v>0</v>
      </c>
    </row>
    <row r="55" spans="1:17" ht="14.45" customHeight="1" x14ac:dyDescent="0.2">
      <c r="A55" s="715" t="s">
        <v>518</v>
      </c>
      <c r="B55" s="716" t="s">
        <v>3041</v>
      </c>
      <c r="C55" s="716" t="s">
        <v>3029</v>
      </c>
      <c r="D55" s="716" t="s">
        <v>3129</v>
      </c>
      <c r="E55" s="716" t="s">
        <v>3130</v>
      </c>
      <c r="F55" s="720"/>
      <c r="G55" s="720"/>
      <c r="H55" s="720"/>
      <c r="I55" s="720"/>
      <c r="J55" s="720">
        <v>2</v>
      </c>
      <c r="K55" s="720">
        <v>1540</v>
      </c>
      <c r="L55" s="720">
        <v>1</v>
      </c>
      <c r="M55" s="720">
        <v>770</v>
      </c>
      <c r="N55" s="720">
        <v>2</v>
      </c>
      <c r="O55" s="720">
        <v>1550</v>
      </c>
      <c r="P55" s="745">
        <v>1.0064935064935066</v>
      </c>
      <c r="Q55" s="721">
        <v>775</v>
      </c>
    </row>
    <row r="56" spans="1:17" ht="14.45" customHeight="1" x14ac:dyDescent="0.2">
      <c r="A56" s="715" t="s">
        <v>518</v>
      </c>
      <c r="B56" s="716" t="s">
        <v>3041</v>
      </c>
      <c r="C56" s="716" t="s">
        <v>3029</v>
      </c>
      <c r="D56" s="716" t="s">
        <v>3131</v>
      </c>
      <c r="E56" s="716" t="s">
        <v>3132</v>
      </c>
      <c r="F56" s="720">
        <v>1</v>
      </c>
      <c r="G56" s="720">
        <v>532</v>
      </c>
      <c r="H56" s="720">
        <v>0.99625468164794007</v>
      </c>
      <c r="I56" s="720">
        <v>532</v>
      </c>
      <c r="J56" s="720">
        <v>1</v>
      </c>
      <c r="K56" s="720">
        <v>534</v>
      </c>
      <c r="L56" s="720">
        <v>1</v>
      </c>
      <c r="M56" s="720">
        <v>534</v>
      </c>
      <c r="N56" s="720"/>
      <c r="O56" s="720"/>
      <c r="P56" s="745"/>
      <c r="Q56" s="721"/>
    </row>
    <row r="57" spans="1:17" ht="14.45" customHeight="1" x14ac:dyDescent="0.2">
      <c r="A57" s="715" t="s">
        <v>518</v>
      </c>
      <c r="B57" s="716" t="s">
        <v>3041</v>
      </c>
      <c r="C57" s="716" t="s">
        <v>3029</v>
      </c>
      <c r="D57" s="716" t="s">
        <v>3133</v>
      </c>
      <c r="E57" s="716" t="s">
        <v>3134</v>
      </c>
      <c r="F57" s="720"/>
      <c r="G57" s="720"/>
      <c r="H57" s="720"/>
      <c r="I57" s="720"/>
      <c r="J57" s="720">
        <v>1</v>
      </c>
      <c r="K57" s="720">
        <v>2814</v>
      </c>
      <c r="L57" s="720">
        <v>1</v>
      </c>
      <c r="M57" s="720">
        <v>2814</v>
      </c>
      <c r="N57" s="720">
        <v>1</v>
      </c>
      <c r="O57" s="720">
        <v>2827</v>
      </c>
      <c r="P57" s="745">
        <v>1.0046197583511016</v>
      </c>
      <c r="Q57" s="721">
        <v>2827</v>
      </c>
    </row>
    <row r="58" spans="1:17" ht="14.45" customHeight="1" x14ac:dyDescent="0.2">
      <c r="A58" s="715" t="s">
        <v>518</v>
      </c>
      <c r="B58" s="716" t="s">
        <v>3041</v>
      </c>
      <c r="C58" s="716" t="s">
        <v>3029</v>
      </c>
      <c r="D58" s="716" t="s">
        <v>3135</v>
      </c>
      <c r="E58" s="716" t="s">
        <v>3136</v>
      </c>
      <c r="F58" s="720">
        <v>9</v>
      </c>
      <c r="G58" s="720">
        <v>7560</v>
      </c>
      <c r="H58" s="720"/>
      <c r="I58" s="720">
        <v>840</v>
      </c>
      <c r="J58" s="720"/>
      <c r="K58" s="720"/>
      <c r="L58" s="720"/>
      <c r="M58" s="720"/>
      <c r="N58" s="720">
        <v>2</v>
      </c>
      <c r="O58" s="720">
        <v>1700</v>
      </c>
      <c r="P58" s="745"/>
      <c r="Q58" s="721">
        <v>850</v>
      </c>
    </row>
    <row r="59" spans="1:17" ht="14.45" customHeight="1" x14ac:dyDescent="0.2">
      <c r="A59" s="715" t="s">
        <v>518</v>
      </c>
      <c r="B59" s="716" t="s">
        <v>3041</v>
      </c>
      <c r="C59" s="716" t="s">
        <v>3029</v>
      </c>
      <c r="D59" s="716" t="s">
        <v>3137</v>
      </c>
      <c r="E59" s="716" t="s">
        <v>3138</v>
      </c>
      <c r="F59" s="720">
        <v>1</v>
      </c>
      <c r="G59" s="720">
        <v>700</v>
      </c>
      <c r="H59" s="720"/>
      <c r="I59" s="720">
        <v>700</v>
      </c>
      <c r="J59" s="720"/>
      <c r="K59" s="720"/>
      <c r="L59" s="720"/>
      <c r="M59" s="720"/>
      <c r="N59" s="720"/>
      <c r="O59" s="720"/>
      <c r="P59" s="745"/>
      <c r="Q59" s="721"/>
    </row>
    <row r="60" spans="1:17" ht="14.45" customHeight="1" x14ac:dyDescent="0.2">
      <c r="A60" s="715" t="s">
        <v>518</v>
      </c>
      <c r="B60" s="716" t="s">
        <v>3041</v>
      </c>
      <c r="C60" s="716" t="s">
        <v>3029</v>
      </c>
      <c r="D60" s="716" t="s">
        <v>3139</v>
      </c>
      <c r="E60" s="716" t="s">
        <v>3140</v>
      </c>
      <c r="F60" s="720">
        <v>1</v>
      </c>
      <c r="G60" s="720">
        <v>6288</v>
      </c>
      <c r="H60" s="720"/>
      <c r="I60" s="720">
        <v>6288</v>
      </c>
      <c r="J60" s="720"/>
      <c r="K60" s="720"/>
      <c r="L60" s="720"/>
      <c r="M60" s="720"/>
      <c r="N60" s="720"/>
      <c r="O60" s="720"/>
      <c r="P60" s="745"/>
      <c r="Q60" s="721"/>
    </row>
    <row r="61" spans="1:17" ht="14.45" customHeight="1" x14ac:dyDescent="0.2">
      <c r="A61" s="715" t="s">
        <v>518</v>
      </c>
      <c r="B61" s="716" t="s">
        <v>3041</v>
      </c>
      <c r="C61" s="716" t="s">
        <v>3029</v>
      </c>
      <c r="D61" s="716" t="s">
        <v>3141</v>
      </c>
      <c r="E61" s="716" t="s">
        <v>3142</v>
      </c>
      <c r="F61" s="720">
        <v>7</v>
      </c>
      <c r="G61" s="720">
        <v>65422</v>
      </c>
      <c r="H61" s="720">
        <v>3.4943916248264073</v>
      </c>
      <c r="I61" s="720">
        <v>9346</v>
      </c>
      <c r="J61" s="720">
        <v>2</v>
      </c>
      <c r="K61" s="720">
        <v>18722</v>
      </c>
      <c r="L61" s="720">
        <v>1</v>
      </c>
      <c r="M61" s="720">
        <v>9361</v>
      </c>
      <c r="N61" s="720">
        <v>6</v>
      </c>
      <c r="O61" s="720">
        <v>56454</v>
      </c>
      <c r="P61" s="745">
        <v>3.0153829719047112</v>
      </c>
      <c r="Q61" s="721">
        <v>9409</v>
      </c>
    </row>
    <row r="62" spans="1:17" ht="14.45" customHeight="1" x14ac:dyDescent="0.2">
      <c r="A62" s="715" t="s">
        <v>518</v>
      </c>
      <c r="B62" s="716" t="s">
        <v>3041</v>
      </c>
      <c r="C62" s="716" t="s">
        <v>3029</v>
      </c>
      <c r="D62" s="716" t="s">
        <v>3143</v>
      </c>
      <c r="E62" s="716" t="s">
        <v>3144</v>
      </c>
      <c r="F62" s="720">
        <v>3</v>
      </c>
      <c r="G62" s="720">
        <v>1335</v>
      </c>
      <c r="H62" s="720">
        <v>0.2138395002402691</v>
      </c>
      <c r="I62" s="720">
        <v>445</v>
      </c>
      <c r="J62" s="720">
        <v>14</v>
      </c>
      <c r="K62" s="720">
        <v>6243</v>
      </c>
      <c r="L62" s="720">
        <v>1</v>
      </c>
      <c r="M62" s="720">
        <v>445.92857142857144</v>
      </c>
      <c r="N62" s="720">
        <v>6</v>
      </c>
      <c r="O62" s="720">
        <v>2688</v>
      </c>
      <c r="P62" s="745">
        <v>0.43056222969726093</v>
      </c>
      <c r="Q62" s="721">
        <v>448</v>
      </c>
    </row>
    <row r="63" spans="1:17" ht="14.45" customHeight="1" x14ac:dyDescent="0.2">
      <c r="A63" s="715" t="s">
        <v>518</v>
      </c>
      <c r="B63" s="716" t="s">
        <v>3041</v>
      </c>
      <c r="C63" s="716" t="s">
        <v>3029</v>
      </c>
      <c r="D63" s="716" t="s">
        <v>3145</v>
      </c>
      <c r="E63" s="716" t="s">
        <v>3146</v>
      </c>
      <c r="F63" s="720">
        <v>23</v>
      </c>
      <c r="G63" s="720">
        <v>19895</v>
      </c>
      <c r="H63" s="720">
        <v>0.54700173214923975</v>
      </c>
      <c r="I63" s="720">
        <v>865</v>
      </c>
      <c r="J63" s="720">
        <v>42</v>
      </c>
      <c r="K63" s="720">
        <v>36371</v>
      </c>
      <c r="L63" s="720">
        <v>1</v>
      </c>
      <c r="M63" s="720">
        <v>865.97619047619048</v>
      </c>
      <c r="N63" s="720">
        <v>24</v>
      </c>
      <c r="O63" s="720">
        <v>20904</v>
      </c>
      <c r="P63" s="745">
        <v>0.57474361441808031</v>
      </c>
      <c r="Q63" s="721">
        <v>871</v>
      </c>
    </row>
    <row r="64" spans="1:17" ht="14.45" customHeight="1" x14ac:dyDescent="0.2">
      <c r="A64" s="715" t="s">
        <v>518</v>
      </c>
      <c r="B64" s="716" t="s">
        <v>3041</v>
      </c>
      <c r="C64" s="716" t="s">
        <v>3029</v>
      </c>
      <c r="D64" s="716" t="s">
        <v>3147</v>
      </c>
      <c r="E64" s="716" t="s">
        <v>3148</v>
      </c>
      <c r="F64" s="720">
        <v>1</v>
      </c>
      <c r="G64" s="720">
        <v>0</v>
      </c>
      <c r="H64" s="720"/>
      <c r="I64" s="720">
        <v>0</v>
      </c>
      <c r="J64" s="720"/>
      <c r="K64" s="720"/>
      <c r="L64" s="720"/>
      <c r="M64" s="720"/>
      <c r="N64" s="720"/>
      <c r="O64" s="720"/>
      <c r="P64" s="745"/>
      <c r="Q64" s="721"/>
    </row>
    <row r="65" spans="1:17" ht="14.45" customHeight="1" x14ac:dyDescent="0.2">
      <c r="A65" s="715" t="s">
        <v>518</v>
      </c>
      <c r="B65" s="716" t="s">
        <v>3041</v>
      </c>
      <c r="C65" s="716" t="s">
        <v>3029</v>
      </c>
      <c r="D65" s="716" t="s">
        <v>3149</v>
      </c>
      <c r="E65" s="716" t="s">
        <v>3150</v>
      </c>
      <c r="F65" s="720">
        <v>7</v>
      </c>
      <c r="G65" s="720">
        <v>25298</v>
      </c>
      <c r="H65" s="720">
        <v>1.3980657640232108</v>
      </c>
      <c r="I65" s="720">
        <v>3614</v>
      </c>
      <c r="J65" s="720">
        <v>5</v>
      </c>
      <c r="K65" s="720">
        <v>18095</v>
      </c>
      <c r="L65" s="720">
        <v>1</v>
      </c>
      <c r="M65" s="720">
        <v>3619</v>
      </c>
      <c r="N65" s="720">
        <v>4</v>
      </c>
      <c r="O65" s="720">
        <v>14548</v>
      </c>
      <c r="P65" s="745">
        <v>0.80397899972368059</v>
      </c>
      <c r="Q65" s="721">
        <v>3637</v>
      </c>
    </row>
    <row r="66" spans="1:17" ht="14.45" customHeight="1" x14ac:dyDescent="0.2">
      <c r="A66" s="715" t="s">
        <v>518</v>
      </c>
      <c r="B66" s="716" t="s">
        <v>3041</v>
      </c>
      <c r="C66" s="716" t="s">
        <v>3029</v>
      </c>
      <c r="D66" s="716" t="s">
        <v>3151</v>
      </c>
      <c r="E66" s="716" t="s">
        <v>3152</v>
      </c>
      <c r="F66" s="720"/>
      <c r="G66" s="720"/>
      <c r="H66" s="720"/>
      <c r="I66" s="720"/>
      <c r="J66" s="720"/>
      <c r="K66" s="720"/>
      <c r="L66" s="720"/>
      <c r="M66" s="720"/>
      <c r="N66" s="720">
        <v>4</v>
      </c>
      <c r="O66" s="720">
        <v>4292</v>
      </c>
      <c r="P66" s="745"/>
      <c r="Q66" s="721">
        <v>1073</v>
      </c>
    </row>
    <row r="67" spans="1:17" ht="14.45" customHeight="1" x14ac:dyDescent="0.2">
      <c r="A67" s="715" t="s">
        <v>518</v>
      </c>
      <c r="B67" s="716" t="s">
        <v>3041</v>
      </c>
      <c r="C67" s="716" t="s">
        <v>3029</v>
      </c>
      <c r="D67" s="716" t="s">
        <v>3153</v>
      </c>
      <c r="E67" s="716" t="s">
        <v>3154</v>
      </c>
      <c r="F67" s="720">
        <v>1</v>
      </c>
      <c r="G67" s="720">
        <v>3744</v>
      </c>
      <c r="H67" s="720">
        <v>0.49893390191897652</v>
      </c>
      <c r="I67" s="720">
        <v>3744</v>
      </c>
      <c r="J67" s="720">
        <v>2</v>
      </c>
      <c r="K67" s="720">
        <v>7504</v>
      </c>
      <c r="L67" s="720">
        <v>1</v>
      </c>
      <c r="M67" s="720">
        <v>3752</v>
      </c>
      <c r="N67" s="720"/>
      <c r="O67" s="720"/>
      <c r="P67" s="745"/>
      <c r="Q67" s="721"/>
    </row>
    <row r="68" spans="1:17" ht="14.45" customHeight="1" x14ac:dyDescent="0.2">
      <c r="A68" s="715" t="s">
        <v>518</v>
      </c>
      <c r="B68" s="716" t="s">
        <v>3041</v>
      </c>
      <c r="C68" s="716" t="s">
        <v>3029</v>
      </c>
      <c r="D68" s="716" t="s">
        <v>3155</v>
      </c>
      <c r="E68" s="716" t="s">
        <v>3156</v>
      </c>
      <c r="F68" s="720">
        <v>1</v>
      </c>
      <c r="G68" s="720">
        <v>183</v>
      </c>
      <c r="H68" s="720"/>
      <c r="I68" s="720">
        <v>183</v>
      </c>
      <c r="J68" s="720"/>
      <c r="K68" s="720"/>
      <c r="L68" s="720"/>
      <c r="M68" s="720"/>
      <c r="N68" s="720">
        <v>1</v>
      </c>
      <c r="O68" s="720">
        <v>376</v>
      </c>
      <c r="P68" s="745"/>
      <c r="Q68" s="721">
        <v>376</v>
      </c>
    </row>
    <row r="69" spans="1:17" ht="14.45" customHeight="1" x14ac:dyDescent="0.2">
      <c r="A69" s="715" t="s">
        <v>518</v>
      </c>
      <c r="B69" s="716" t="s">
        <v>3041</v>
      </c>
      <c r="C69" s="716" t="s">
        <v>3029</v>
      </c>
      <c r="D69" s="716" t="s">
        <v>3157</v>
      </c>
      <c r="E69" s="716" t="s">
        <v>3158</v>
      </c>
      <c r="F69" s="720"/>
      <c r="G69" s="720"/>
      <c r="H69" s="720"/>
      <c r="I69" s="720"/>
      <c r="J69" s="720"/>
      <c r="K69" s="720"/>
      <c r="L69" s="720"/>
      <c r="M69" s="720"/>
      <c r="N69" s="720">
        <v>1</v>
      </c>
      <c r="O69" s="720">
        <v>1999</v>
      </c>
      <c r="P69" s="745"/>
      <c r="Q69" s="721">
        <v>1999</v>
      </c>
    </row>
    <row r="70" spans="1:17" ht="14.45" customHeight="1" x14ac:dyDescent="0.2">
      <c r="A70" s="715" t="s">
        <v>518</v>
      </c>
      <c r="B70" s="716" t="s">
        <v>3041</v>
      </c>
      <c r="C70" s="716" t="s">
        <v>3029</v>
      </c>
      <c r="D70" s="716" t="s">
        <v>3159</v>
      </c>
      <c r="E70" s="716" t="s">
        <v>3160</v>
      </c>
      <c r="F70" s="720">
        <v>4</v>
      </c>
      <c r="G70" s="720">
        <v>64336</v>
      </c>
      <c r="H70" s="720"/>
      <c r="I70" s="720">
        <v>16084</v>
      </c>
      <c r="J70" s="720"/>
      <c r="K70" s="720"/>
      <c r="L70" s="720"/>
      <c r="M70" s="720"/>
      <c r="N70" s="720"/>
      <c r="O70" s="720"/>
      <c r="P70" s="745"/>
      <c r="Q70" s="721"/>
    </row>
    <row r="71" spans="1:17" ht="14.45" customHeight="1" x14ac:dyDescent="0.2">
      <c r="A71" s="715" t="s">
        <v>518</v>
      </c>
      <c r="B71" s="716" t="s">
        <v>3041</v>
      </c>
      <c r="C71" s="716" t="s">
        <v>3029</v>
      </c>
      <c r="D71" s="716" t="s">
        <v>3161</v>
      </c>
      <c r="E71" s="716" t="s">
        <v>3162</v>
      </c>
      <c r="F71" s="720">
        <v>6</v>
      </c>
      <c r="G71" s="720">
        <v>0</v>
      </c>
      <c r="H71" s="720"/>
      <c r="I71" s="720">
        <v>0</v>
      </c>
      <c r="J71" s="720"/>
      <c r="K71" s="720"/>
      <c r="L71" s="720"/>
      <c r="M71" s="720"/>
      <c r="N71" s="720"/>
      <c r="O71" s="720"/>
      <c r="P71" s="745"/>
      <c r="Q71" s="721"/>
    </row>
    <row r="72" spans="1:17" ht="14.45" customHeight="1" x14ac:dyDescent="0.2">
      <c r="A72" s="715" t="s">
        <v>518</v>
      </c>
      <c r="B72" s="716" t="s">
        <v>3041</v>
      </c>
      <c r="C72" s="716" t="s">
        <v>3029</v>
      </c>
      <c r="D72" s="716" t="s">
        <v>3163</v>
      </c>
      <c r="E72" s="716" t="s">
        <v>3164</v>
      </c>
      <c r="F72" s="720">
        <v>1</v>
      </c>
      <c r="G72" s="720">
        <v>390</v>
      </c>
      <c r="H72" s="720">
        <v>7.1245889660211906E-2</v>
      </c>
      <c r="I72" s="720">
        <v>390</v>
      </c>
      <c r="J72" s="720">
        <v>14</v>
      </c>
      <c r="K72" s="720">
        <v>5474</v>
      </c>
      <c r="L72" s="720">
        <v>1</v>
      </c>
      <c r="M72" s="720">
        <v>391</v>
      </c>
      <c r="N72" s="720">
        <v>3</v>
      </c>
      <c r="O72" s="720">
        <v>1179</v>
      </c>
      <c r="P72" s="745">
        <v>0.21538180489587139</v>
      </c>
      <c r="Q72" s="721">
        <v>393</v>
      </c>
    </row>
    <row r="73" spans="1:17" ht="14.45" customHeight="1" x14ac:dyDescent="0.2">
      <c r="A73" s="715" t="s">
        <v>518</v>
      </c>
      <c r="B73" s="716" t="s">
        <v>3041</v>
      </c>
      <c r="C73" s="716" t="s">
        <v>3029</v>
      </c>
      <c r="D73" s="716" t="s">
        <v>3165</v>
      </c>
      <c r="E73" s="716" t="s">
        <v>3166</v>
      </c>
      <c r="F73" s="720">
        <v>2</v>
      </c>
      <c r="G73" s="720">
        <v>0</v>
      </c>
      <c r="H73" s="720"/>
      <c r="I73" s="720">
        <v>0</v>
      </c>
      <c r="J73" s="720"/>
      <c r="K73" s="720"/>
      <c r="L73" s="720"/>
      <c r="M73" s="720"/>
      <c r="N73" s="720"/>
      <c r="O73" s="720"/>
      <c r="P73" s="745"/>
      <c r="Q73" s="721"/>
    </row>
    <row r="74" spans="1:17" ht="14.45" customHeight="1" x14ac:dyDescent="0.2">
      <c r="A74" s="715" t="s">
        <v>518</v>
      </c>
      <c r="B74" s="716" t="s">
        <v>3041</v>
      </c>
      <c r="C74" s="716" t="s">
        <v>3029</v>
      </c>
      <c r="D74" s="716" t="s">
        <v>3167</v>
      </c>
      <c r="E74" s="716" t="s">
        <v>3168</v>
      </c>
      <c r="F74" s="720">
        <v>1</v>
      </c>
      <c r="G74" s="720">
        <v>2227</v>
      </c>
      <c r="H74" s="720">
        <v>0.99865470852017935</v>
      </c>
      <c r="I74" s="720">
        <v>2227</v>
      </c>
      <c r="J74" s="720">
        <v>1</v>
      </c>
      <c r="K74" s="720">
        <v>2230</v>
      </c>
      <c r="L74" s="720">
        <v>1</v>
      </c>
      <c r="M74" s="720">
        <v>2230</v>
      </c>
      <c r="N74" s="720"/>
      <c r="O74" s="720"/>
      <c r="P74" s="745"/>
      <c r="Q74" s="721"/>
    </row>
    <row r="75" spans="1:17" ht="14.45" customHeight="1" x14ac:dyDescent="0.2">
      <c r="A75" s="715" t="s">
        <v>518</v>
      </c>
      <c r="B75" s="716" t="s">
        <v>3041</v>
      </c>
      <c r="C75" s="716" t="s">
        <v>3029</v>
      </c>
      <c r="D75" s="716" t="s">
        <v>3169</v>
      </c>
      <c r="E75" s="716" t="s">
        <v>3170</v>
      </c>
      <c r="F75" s="720">
        <v>18</v>
      </c>
      <c r="G75" s="720">
        <v>0</v>
      </c>
      <c r="H75" s="720"/>
      <c r="I75" s="720">
        <v>0</v>
      </c>
      <c r="J75" s="720">
        <v>3</v>
      </c>
      <c r="K75" s="720">
        <v>0</v>
      </c>
      <c r="L75" s="720"/>
      <c r="M75" s="720">
        <v>0</v>
      </c>
      <c r="N75" s="720">
        <v>8</v>
      </c>
      <c r="O75" s="720">
        <v>0</v>
      </c>
      <c r="P75" s="745"/>
      <c r="Q75" s="721">
        <v>0</v>
      </c>
    </row>
    <row r="76" spans="1:17" ht="14.45" customHeight="1" x14ac:dyDescent="0.2">
      <c r="A76" s="715" t="s">
        <v>518</v>
      </c>
      <c r="B76" s="716" t="s">
        <v>3041</v>
      </c>
      <c r="C76" s="716" t="s">
        <v>3029</v>
      </c>
      <c r="D76" s="716" t="s">
        <v>3171</v>
      </c>
      <c r="E76" s="716" t="s">
        <v>3172</v>
      </c>
      <c r="F76" s="720"/>
      <c r="G76" s="720"/>
      <c r="H76" s="720"/>
      <c r="I76" s="720"/>
      <c r="J76" s="720"/>
      <c r="K76" s="720"/>
      <c r="L76" s="720"/>
      <c r="M76" s="720"/>
      <c r="N76" s="720">
        <v>1</v>
      </c>
      <c r="O76" s="720">
        <v>8980</v>
      </c>
      <c r="P76" s="745"/>
      <c r="Q76" s="721">
        <v>8980</v>
      </c>
    </row>
    <row r="77" spans="1:17" ht="14.45" customHeight="1" x14ac:dyDescent="0.2">
      <c r="A77" s="715" t="s">
        <v>518</v>
      </c>
      <c r="B77" s="716" t="s">
        <v>3041</v>
      </c>
      <c r="C77" s="716" t="s">
        <v>3029</v>
      </c>
      <c r="D77" s="716" t="s">
        <v>3173</v>
      </c>
      <c r="E77" s="716" t="s">
        <v>3174</v>
      </c>
      <c r="F77" s="720">
        <v>1</v>
      </c>
      <c r="G77" s="720">
        <v>0</v>
      </c>
      <c r="H77" s="720"/>
      <c r="I77" s="720">
        <v>0</v>
      </c>
      <c r="J77" s="720"/>
      <c r="K77" s="720"/>
      <c r="L77" s="720"/>
      <c r="M77" s="720"/>
      <c r="N77" s="720"/>
      <c r="O77" s="720"/>
      <c r="P77" s="745"/>
      <c r="Q77" s="721"/>
    </row>
    <row r="78" spans="1:17" ht="14.45" customHeight="1" x14ac:dyDescent="0.2">
      <c r="A78" s="715" t="s">
        <v>518</v>
      </c>
      <c r="B78" s="716" t="s">
        <v>3041</v>
      </c>
      <c r="C78" s="716" t="s">
        <v>3029</v>
      </c>
      <c r="D78" s="716" t="s">
        <v>3175</v>
      </c>
      <c r="E78" s="716" t="s">
        <v>3176</v>
      </c>
      <c r="F78" s="720">
        <v>1</v>
      </c>
      <c r="G78" s="720">
        <v>6305</v>
      </c>
      <c r="H78" s="720">
        <v>0.99810036409688141</v>
      </c>
      <c r="I78" s="720">
        <v>6305</v>
      </c>
      <c r="J78" s="720">
        <v>1</v>
      </c>
      <c r="K78" s="720">
        <v>6317</v>
      </c>
      <c r="L78" s="720">
        <v>1</v>
      </c>
      <c r="M78" s="720">
        <v>6317</v>
      </c>
      <c r="N78" s="720"/>
      <c r="O78" s="720"/>
      <c r="P78" s="745"/>
      <c r="Q78" s="721"/>
    </row>
    <row r="79" spans="1:17" ht="14.45" customHeight="1" x14ac:dyDescent="0.2">
      <c r="A79" s="715" t="s">
        <v>518</v>
      </c>
      <c r="B79" s="716" t="s">
        <v>3041</v>
      </c>
      <c r="C79" s="716" t="s">
        <v>3029</v>
      </c>
      <c r="D79" s="716" t="s">
        <v>3177</v>
      </c>
      <c r="E79" s="716" t="s">
        <v>3178</v>
      </c>
      <c r="F79" s="720">
        <v>4</v>
      </c>
      <c r="G79" s="720">
        <v>18289</v>
      </c>
      <c r="H79" s="720"/>
      <c r="I79" s="720">
        <v>4572.25</v>
      </c>
      <c r="J79" s="720"/>
      <c r="K79" s="720"/>
      <c r="L79" s="720"/>
      <c r="M79" s="720"/>
      <c r="N79" s="720">
        <v>2</v>
      </c>
      <c r="O79" s="720">
        <v>9214</v>
      </c>
      <c r="P79" s="745"/>
      <c r="Q79" s="721">
        <v>4607</v>
      </c>
    </row>
    <row r="80" spans="1:17" ht="14.45" customHeight="1" x14ac:dyDescent="0.2">
      <c r="A80" s="715" t="s">
        <v>518</v>
      </c>
      <c r="B80" s="716" t="s">
        <v>3041</v>
      </c>
      <c r="C80" s="716" t="s">
        <v>3029</v>
      </c>
      <c r="D80" s="716" t="s">
        <v>3179</v>
      </c>
      <c r="E80" s="716" t="s">
        <v>3180</v>
      </c>
      <c r="F80" s="720">
        <v>5</v>
      </c>
      <c r="G80" s="720">
        <v>0</v>
      </c>
      <c r="H80" s="720"/>
      <c r="I80" s="720">
        <v>0</v>
      </c>
      <c r="J80" s="720"/>
      <c r="K80" s="720"/>
      <c r="L80" s="720"/>
      <c r="M80" s="720"/>
      <c r="N80" s="720">
        <v>1</v>
      </c>
      <c r="O80" s="720">
        <v>0</v>
      </c>
      <c r="P80" s="745"/>
      <c r="Q80" s="721">
        <v>0</v>
      </c>
    </row>
    <row r="81" spans="1:17" ht="14.45" customHeight="1" x14ac:dyDescent="0.2">
      <c r="A81" s="715" t="s">
        <v>518</v>
      </c>
      <c r="B81" s="716" t="s">
        <v>3041</v>
      </c>
      <c r="C81" s="716" t="s">
        <v>3029</v>
      </c>
      <c r="D81" s="716" t="s">
        <v>3181</v>
      </c>
      <c r="E81" s="716" t="s">
        <v>3182</v>
      </c>
      <c r="F81" s="720">
        <v>14</v>
      </c>
      <c r="G81" s="720">
        <v>46172</v>
      </c>
      <c r="H81" s="720">
        <v>1.5541418425392979</v>
      </c>
      <c r="I81" s="720">
        <v>3298</v>
      </c>
      <c r="J81" s="720">
        <v>9</v>
      </c>
      <c r="K81" s="720">
        <v>29709</v>
      </c>
      <c r="L81" s="720">
        <v>1</v>
      </c>
      <c r="M81" s="720">
        <v>3301</v>
      </c>
      <c r="N81" s="720">
        <v>13</v>
      </c>
      <c r="O81" s="720">
        <v>43056</v>
      </c>
      <c r="P81" s="745">
        <v>1.4492578006664647</v>
      </c>
      <c r="Q81" s="721">
        <v>3312</v>
      </c>
    </row>
    <row r="82" spans="1:17" ht="14.45" customHeight="1" x14ac:dyDescent="0.2">
      <c r="A82" s="715" t="s">
        <v>518</v>
      </c>
      <c r="B82" s="716" t="s">
        <v>3041</v>
      </c>
      <c r="C82" s="716" t="s">
        <v>3029</v>
      </c>
      <c r="D82" s="716" t="s">
        <v>3183</v>
      </c>
      <c r="E82" s="716" t="s">
        <v>3184</v>
      </c>
      <c r="F82" s="720">
        <v>1</v>
      </c>
      <c r="G82" s="720">
        <v>9265</v>
      </c>
      <c r="H82" s="720"/>
      <c r="I82" s="720">
        <v>9265</v>
      </c>
      <c r="J82" s="720"/>
      <c r="K82" s="720"/>
      <c r="L82" s="720"/>
      <c r="M82" s="720"/>
      <c r="N82" s="720">
        <v>2</v>
      </c>
      <c r="O82" s="720">
        <v>18674</v>
      </c>
      <c r="P82" s="745"/>
      <c r="Q82" s="721">
        <v>9337</v>
      </c>
    </row>
    <row r="83" spans="1:17" ht="14.45" customHeight="1" x14ac:dyDescent="0.2">
      <c r="A83" s="715" t="s">
        <v>518</v>
      </c>
      <c r="B83" s="716" t="s">
        <v>3041</v>
      </c>
      <c r="C83" s="716" t="s">
        <v>3029</v>
      </c>
      <c r="D83" s="716" t="s">
        <v>3185</v>
      </c>
      <c r="E83" s="716" t="s">
        <v>3186</v>
      </c>
      <c r="F83" s="720">
        <v>1</v>
      </c>
      <c r="G83" s="720">
        <v>0</v>
      </c>
      <c r="H83" s="720"/>
      <c r="I83" s="720">
        <v>0</v>
      </c>
      <c r="J83" s="720"/>
      <c r="K83" s="720"/>
      <c r="L83" s="720"/>
      <c r="M83" s="720"/>
      <c r="N83" s="720"/>
      <c r="O83" s="720"/>
      <c r="P83" s="745"/>
      <c r="Q83" s="721"/>
    </row>
    <row r="84" spans="1:17" ht="14.45" customHeight="1" x14ac:dyDescent="0.2">
      <c r="A84" s="715" t="s">
        <v>518</v>
      </c>
      <c r="B84" s="716" t="s">
        <v>3041</v>
      </c>
      <c r="C84" s="716" t="s">
        <v>3029</v>
      </c>
      <c r="D84" s="716" t="s">
        <v>3187</v>
      </c>
      <c r="E84" s="716" t="s">
        <v>3188</v>
      </c>
      <c r="F84" s="720">
        <v>9</v>
      </c>
      <c r="G84" s="720">
        <v>0</v>
      </c>
      <c r="H84" s="720"/>
      <c r="I84" s="720">
        <v>0</v>
      </c>
      <c r="J84" s="720">
        <v>2</v>
      </c>
      <c r="K84" s="720">
        <v>0</v>
      </c>
      <c r="L84" s="720"/>
      <c r="M84" s="720">
        <v>0</v>
      </c>
      <c r="N84" s="720">
        <v>7</v>
      </c>
      <c r="O84" s="720">
        <v>0</v>
      </c>
      <c r="P84" s="745"/>
      <c r="Q84" s="721">
        <v>0</v>
      </c>
    </row>
    <row r="85" spans="1:17" ht="14.45" customHeight="1" x14ac:dyDescent="0.2">
      <c r="A85" s="715" t="s">
        <v>518</v>
      </c>
      <c r="B85" s="716" t="s">
        <v>3041</v>
      </c>
      <c r="C85" s="716" t="s">
        <v>3029</v>
      </c>
      <c r="D85" s="716" t="s">
        <v>3189</v>
      </c>
      <c r="E85" s="716" t="s">
        <v>3190</v>
      </c>
      <c r="F85" s="720">
        <v>2</v>
      </c>
      <c r="G85" s="720">
        <v>0</v>
      </c>
      <c r="H85" s="720"/>
      <c r="I85" s="720">
        <v>0</v>
      </c>
      <c r="J85" s="720"/>
      <c r="K85" s="720"/>
      <c r="L85" s="720"/>
      <c r="M85" s="720"/>
      <c r="N85" s="720">
        <v>2</v>
      </c>
      <c r="O85" s="720">
        <v>0</v>
      </c>
      <c r="P85" s="745"/>
      <c r="Q85" s="721">
        <v>0</v>
      </c>
    </row>
    <row r="86" spans="1:17" ht="14.45" customHeight="1" x14ac:dyDescent="0.2">
      <c r="A86" s="715" t="s">
        <v>518</v>
      </c>
      <c r="B86" s="716" t="s">
        <v>3041</v>
      </c>
      <c r="C86" s="716" t="s">
        <v>3029</v>
      </c>
      <c r="D86" s="716" t="s">
        <v>3191</v>
      </c>
      <c r="E86" s="716" t="s">
        <v>3192</v>
      </c>
      <c r="F86" s="720">
        <v>1</v>
      </c>
      <c r="G86" s="720">
        <v>0</v>
      </c>
      <c r="H86" s="720"/>
      <c r="I86" s="720">
        <v>0</v>
      </c>
      <c r="J86" s="720"/>
      <c r="K86" s="720"/>
      <c r="L86" s="720"/>
      <c r="M86" s="720"/>
      <c r="N86" s="720"/>
      <c r="O86" s="720"/>
      <c r="P86" s="745"/>
      <c r="Q86" s="721"/>
    </row>
    <row r="87" spans="1:17" ht="14.45" customHeight="1" x14ac:dyDescent="0.2">
      <c r="A87" s="715" t="s">
        <v>518</v>
      </c>
      <c r="B87" s="716" t="s">
        <v>3041</v>
      </c>
      <c r="C87" s="716" t="s">
        <v>3029</v>
      </c>
      <c r="D87" s="716" t="s">
        <v>3193</v>
      </c>
      <c r="E87" s="716" t="s">
        <v>3194</v>
      </c>
      <c r="F87" s="720"/>
      <c r="G87" s="720"/>
      <c r="H87" s="720"/>
      <c r="I87" s="720"/>
      <c r="J87" s="720">
        <v>2</v>
      </c>
      <c r="K87" s="720">
        <v>11510</v>
      </c>
      <c r="L87" s="720">
        <v>1</v>
      </c>
      <c r="M87" s="720">
        <v>5755</v>
      </c>
      <c r="N87" s="720"/>
      <c r="O87" s="720"/>
      <c r="P87" s="745"/>
      <c r="Q87" s="721"/>
    </row>
    <row r="88" spans="1:17" ht="14.45" customHeight="1" x14ac:dyDescent="0.2">
      <c r="A88" s="715" t="s">
        <v>518</v>
      </c>
      <c r="B88" s="716" t="s">
        <v>3041</v>
      </c>
      <c r="C88" s="716" t="s">
        <v>3029</v>
      </c>
      <c r="D88" s="716" t="s">
        <v>3195</v>
      </c>
      <c r="E88" s="716" t="s">
        <v>3196</v>
      </c>
      <c r="F88" s="720">
        <v>2</v>
      </c>
      <c r="G88" s="720">
        <v>7362</v>
      </c>
      <c r="H88" s="720"/>
      <c r="I88" s="720">
        <v>3681</v>
      </c>
      <c r="J88" s="720"/>
      <c r="K88" s="720"/>
      <c r="L88" s="720"/>
      <c r="M88" s="720"/>
      <c r="N88" s="720">
        <v>1</v>
      </c>
      <c r="O88" s="720">
        <v>3713</v>
      </c>
      <c r="P88" s="745"/>
      <c r="Q88" s="721">
        <v>3713</v>
      </c>
    </row>
    <row r="89" spans="1:17" ht="14.45" customHeight="1" x14ac:dyDescent="0.2">
      <c r="A89" s="715" t="s">
        <v>518</v>
      </c>
      <c r="B89" s="716" t="s">
        <v>3041</v>
      </c>
      <c r="C89" s="716" t="s">
        <v>3029</v>
      </c>
      <c r="D89" s="716" t="s">
        <v>3197</v>
      </c>
      <c r="E89" s="716" t="s">
        <v>3198</v>
      </c>
      <c r="F89" s="720">
        <v>13</v>
      </c>
      <c r="G89" s="720">
        <v>61516</v>
      </c>
      <c r="H89" s="720">
        <v>12.975321662096604</v>
      </c>
      <c r="I89" s="720">
        <v>4732</v>
      </c>
      <c r="J89" s="720">
        <v>1</v>
      </c>
      <c r="K89" s="720">
        <v>4741</v>
      </c>
      <c r="L89" s="720">
        <v>1</v>
      </c>
      <c r="M89" s="720">
        <v>4741</v>
      </c>
      <c r="N89" s="720">
        <v>2</v>
      </c>
      <c r="O89" s="720">
        <v>10542</v>
      </c>
      <c r="P89" s="745">
        <v>2.2235815228854672</v>
      </c>
      <c r="Q89" s="721">
        <v>5271</v>
      </c>
    </row>
    <row r="90" spans="1:17" ht="14.45" customHeight="1" x14ac:dyDescent="0.2">
      <c r="A90" s="715" t="s">
        <v>518</v>
      </c>
      <c r="B90" s="716" t="s">
        <v>3041</v>
      </c>
      <c r="C90" s="716" t="s">
        <v>3029</v>
      </c>
      <c r="D90" s="716" t="s">
        <v>3199</v>
      </c>
      <c r="E90" s="716" t="s">
        <v>3200</v>
      </c>
      <c r="F90" s="720">
        <v>1</v>
      </c>
      <c r="G90" s="720">
        <v>4667</v>
      </c>
      <c r="H90" s="720">
        <v>0.49946489726027399</v>
      </c>
      <c r="I90" s="720">
        <v>4667</v>
      </c>
      <c r="J90" s="720">
        <v>2</v>
      </c>
      <c r="K90" s="720">
        <v>9344</v>
      </c>
      <c r="L90" s="720">
        <v>1</v>
      </c>
      <c r="M90" s="720">
        <v>4672</v>
      </c>
      <c r="N90" s="720">
        <v>3</v>
      </c>
      <c r="O90" s="720">
        <v>14064</v>
      </c>
      <c r="P90" s="745">
        <v>1.5051369863013699</v>
      </c>
      <c r="Q90" s="721">
        <v>4688</v>
      </c>
    </row>
    <row r="91" spans="1:17" ht="14.45" customHeight="1" x14ac:dyDescent="0.2">
      <c r="A91" s="715" t="s">
        <v>518</v>
      </c>
      <c r="B91" s="716" t="s">
        <v>3041</v>
      </c>
      <c r="C91" s="716" t="s">
        <v>3029</v>
      </c>
      <c r="D91" s="716" t="s">
        <v>3201</v>
      </c>
      <c r="E91" s="716" t="s">
        <v>3202</v>
      </c>
      <c r="F91" s="720"/>
      <c r="G91" s="720"/>
      <c r="H91" s="720"/>
      <c r="I91" s="720"/>
      <c r="J91" s="720">
        <v>1</v>
      </c>
      <c r="K91" s="720">
        <v>2427</v>
      </c>
      <c r="L91" s="720">
        <v>1</v>
      </c>
      <c r="M91" s="720">
        <v>2427</v>
      </c>
      <c r="N91" s="720"/>
      <c r="O91" s="720"/>
      <c r="P91" s="745"/>
      <c r="Q91" s="721"/>
    </row>
    <row r="92" spans="1:17" ht="14.45" customHeight="1" x14ac:dyDescent="0.2">
      <c r="A92" s="715" t="s">
        <v>518</v>
      </c>
      <c r="B92" s="716" t="s">
        <v>3041</v>
      </c>
      <c r="C92" s="716" t="s">
        <v>3029</v>
      </c>
      <c r="D92" s="716" t="s">
        <v>3203</v>
      </c>
      <c r="E92" s="716" t="s">
        <v>3204</v>
      </c>
      <c r="F92" s="720"/>
      <c r="G92" s="720"/>
      <c r="H92" s="720"/>
      <c r="I92" s="720"/>
      <c r="J92" s="720"/>
      <c r="K92" s="720"/>
      <c r="L92" s="720"/>
      <c r="M92" s="720"/>
      <c r="N92" s="720">
        <v>1</v>
      </c>
      <c r="O92" s="720">
        <v>6360</v>
      </c>
      <c r="P92" s="745"/>
      <c r="Q92" s="721">
        <v>6360</v>
      </c>
    </row>
    <row r="93" spans="1:17" ht="14.45" customHeight="1" x14ac:dyDescent="0.2">
      <c r="A93" s="715" t="s">
        <v>518</v>
      </c>
      <c r="B93" s="716" t="s">
        <v>3041</v>
      </c>
      <c r="C93" s="716" t="s">
        <v>3029</v>
      </c>
      <c r="D93" s="716" t="s">
        <v>3205</v>
      </c>
      <c r="E93" s="716" t="s">
        <v>3206</v>
      </c>
      <c r="F93" s="720"/>
      <c r="G93" s="720"/>
      <c r="H93" s="720"/>
      <c r="I93" s="720"/>
      <c r="J93" s="720"/>
      <c r="K93" s="720"/>
      <c r="L93" s="720"/>
      <c r="M93" s="720"/>
      <c r="N93" s="720">
        <v>1</v>
      </c>
      <c r="O93" s="720">
        <v>0</v>
      </c>
      <c r="P93" s="745"/>
      <c r="Q93" s="721">
        <v>0</v>
      </c>
    </row>
    <row r="94" spans="1:17" ht="14.45" customHeight="1" x14ac:dyDescent="0.2">
      <c r="A94" s="715" t="s">
        <v>518</v>
      </c>
      <c r="B94" s="716" t="s">
        <v>3041</v>
      </c>
      <c r="C94" s="716" t="s">
        <v>3029</v>
      </c>
      <c r="D94" s="716" t="s">
        <v>3207</v>
      </c>
      <c r="E94" s="716" t="s">
        <v>3208</v>
      </c>
      <c r="F94" s="720">
        <v>5</v>
      </c>
      <c r="G94" s="720">
        <v>26420</v>
      </c>
      <c r="H94" s="720">
        <v>4.9943289224952743</v>
      </c>
      <c r="I94" s="720">
        <v>5284</v>
      </c>
      <c r="J94" s="720">
        <v>1</v>
      </c>
      <c r="K94" s="720">
        <v>5290</v>
      </c>
      <c r="L94" s="720">
        <v>1</v>
      </c>
      <c r="M94" s="720">
        <v>5290</v>
      </c>
      <c r="N94" s="720">
        <v>5</v>
      </c>
      <c r="O94" s="720">
        <v>26560</v>
      </c>
      <c r="P94" s="745">
        <v>5.0207939508506616</v>
      </c>
      <c r="Q94" s="721">
        <v>5312</v>
      </c>
    </row>
    <row r="95" spans="1:17" ht="14.45" customHeight="1" x14ac:dyDescent="0.2">
      <c r="A95" s="715" t="s">
        <v>518</v>
      </c>
      <c r="B95" s="716" t="s">
        <v>3041</v>
      </c>
      <c r="C95" s="716" t="s">
        <v>3029</v>
      </c>
      <c r="D95" s="716" t="s">
        <v>3209</v>
      </c>
      <c r="E95" s="716" t="s">
        <v>3210</v>
      </c>
      <c r="F95" s="720">
        <v>2</v>
      </c>
      <c r="G95" s="720">
        <v>0</v>
      </c>
      <c r="H95" s="720"/>
      <c r="I95" s="720">
        <v>0</v>
      </c>
      <c r="J95" s="720"/>
      <c r="K95" s="720"/>
      <c r="L95" s="720"/>
      <c r="M95" s="720"/>
      <c r="N95" s="720"/>
      <c r="O95" s="720"/>
      <c r="P95" s="745"/>
      <c r="Q95" s="721"/>
    </row>
    <row r="96" spans="1:17" ht="14.45" customHeight="1" x14ac:dyDescent="0.2">
      <c r="A96" s="715" t="s">
        <v>518</v>
      </c>
      <c r="B96" s="716" t="s">
        <v>3041</v>
      </c>
      <c r="C96" s="716" t="s">
        <v>3029</v>
      </c>
      <c r="D96" s="716" t="s">
        <v>3211</v>
      </c>
      <c r="E96" s="716" t="s">
        <v>3212</v>
      </c>
      <c r="F96" s="720"/>
      <c r="G96" s="720"/>
      <c r="H96" s="720"/>
      <c r="I96" s="720"/>
      <c r="J96" s="720">
        <v>1</v>
      </c>
      <c r="K96" s="720">
        <v>8761</v>
      </c>
      <c r="L96" s="720">
        <v>1</v>
      </c>
      <c r="M96" s="720">
        <v>8761</v>
      </c>
      <c r="N96" s="720"/>
      <c r="O96" s="720"/>
      <c r="P96" s="745"/>
      <c r="Q96" s="721"/>
    </row>
    <row r="97" spans="1:17" ht="14.45" customHeight="1" x14ac:dyDescent="0.2">
      <c r="A97" s="715" t="s">
        <v>518</v>
      </c>
      <c r="B97" s="716" t="s">
        <v>3041</v>
      </c>
      <c r="C97" s="716" t="s">
        <v>3029</v>
      </c>
      <c r="D97" s="716" t="s">
        <v>3213</v>
      </c>
      <c r="E97" s="716" t="s">
        <v>3214</v>
      </c>
      <c r="F97" s="720">
        <v>1</v>
      </c>
      <c r="G97" s="720">
        <v>11010</v>
      </c>
      <c r="H97" s="720"/>
      <c r="I97" s="720">
        <v>11010</v>
      </c>
      <c r="J97" s="720"/>
      <c r="K97" s="720"/>
      <c r="L97" s="720"/>
      <c r="M97" s="720"/>
      <c r="N97" s="720"/>
      <c r="O97" s="720"/>
      <c r="P97" s="745"/>
      <c r="Q97" s="721"/>
    </row>
    <row r="98" spans="1:17" ht="14.45" customHeight="1" x14ac:dyDescent="0.2">
      <c r="A98" s="715" t="s">
        <v>518</v>
      </c>
      <c r="B98" s="716" t="s">
        <v>3041</v>
      </c>
      <c r="C98" s="716" t="s">
        <v>3029</v>
      </c>
      <c r="D98" s="716" t="s">
        <v>3215</v>
      </c>
      <c r="E98" s="716" t="s">
        <v>3216</v>
      </c>
      <c r="F98" s="720"/>
      <c r="G98" s="720"/>
      <c r="H98" s="720"/>
      <c r="I98" s="720"/>
      <c r="J98" s="720"/>
      <c r="K98" s="720"/>
      <c r="L98" s="720"/>
      <c r="M98" s="720"/>
      <c r="N98" s="720">
        <v>1</v>
      </c>
      <c r="O98" s="720">
        <v>0</v>
      </c>
      <c r="P98" s="745"/>
      <c r="Q98" s="721">
        <v>0</v>
      </c>
    </row>
    <row r="99" spans="1:17" ht="14.45" customHeight="1" x14ac:dyDescent="0.2">
      <c r="A99" s="715" t="s">
        <v>518</v>
      </c>
      <c r="B99" s="716" t="s">
        <v>3041</v>
      </c>
      <c r="C99" s="716" t="s">
        <v>3029</v>
      </c>
      <c r="D99" s="716" t="s">
        <v>3217</v>
      </c>
      <c r="E99" s="716" t="s">
        <v>3218</v>
      </c>
      <c r="F99" s="720"/>
      <c r="G99" s="720"/>
      <c r="H99" s="720"/>
      <c r="I99" s="720"/>
      <c r="J99" s="720"/>
      <c r="K99" s="720"/>
      <c r="L99" s="720"/>
      <c r="M99" s="720"/>
      <c r="N99" s="720">
        <v>1</v>
      </c>
      <c r="O99" s="720">
        <v>0</v>
      </c>
      <c r="P99" s="745"/>
      <c r="Q99" s="721">
        <v>0</v>
      </c>
    </row>
    <row r="100" spans="1:17" ht="14.45" customHeight="1" x14ac:dyDescent="0.2">
      <c r="A100" s="715" t="s">
        <v>518</v>
      </c>
      <c r="B100" s="716" t="s">
        <v>3041</v>
      </c>
      <c r="C100" s="716" t="s">
        <v>3029</v>
      </c>
      <c r="D100" s="716" t="s">
        <v>3219</v>
      </c>
      <c r="E100" s="716" t="s">
        <v>3220</v>
      </c>
      <c r="F100" s="720">
        <v>1</v>
      </c>
      <c r="G100" s="720">
        <v>21848</v>
      </c>
      <c r="H100" s="720"/>
      <c r="I100" s="720">
        <v>21848</v>
      </c>
      <c r="J100" s="720"/>
      <c r="K100" s="720"/>
      <c r="L100" s="720"/>
      <c r="M100" s="720"/>
      <c r="N100" s="720"/>
      <c r="O100" s="720"/>
      <c r="P100" s="745"/>
      <c r="Q100" s="721"/>
    </row>
    <row r="101" spans="1:17" ht="14.45" customHeight="1" x14ac:dyDescent="0.2">
      <c r="A101" s="715" t="s">
        <v>518</v>
      </c>
      <c r="B101" s="716" t="s">
        <v>3041</v>
      </c>
      <c r="C101" s="716" t="s">
        <v>3029</v>
      </c>
      <c r="D101" s="716" t="s">
        <v>3221</v>
      </c>
      <c r="E101" s="716" t="s">
        <v>3222</v>
      </c>
      <c r="F101" s="720"/>
      <c r="G101" s="720"/>
      <c r="H101" s="720"/>
      <c r="I101" s="720"/>
      <c r="J101" s="720">
        <v>2</v>
      </c>
      <c r="K101" s="720">
        <v>8240</v>
      </c>
      <c r="L101" s="720">
        <v>1</v>
      </c>
      <c r="M101" s="720">
        <v>4120</v>
      </c>
      <c r="N101" s="720">
        <v>2</v>
      </c>
      <c r="O101" s="720">
        <v>8272</v>
      </c>
      <c r="P101" s="745">
        <v>1.003883495145631</v>
      </c>
      <c r="Q101" s="721">
        <v>4136</v>
      </c>
    </row>
    <row r="102" spans="1:17" ht="14.45" customHeight="1" x14ac:dyDescent="0.2">
      <c r="A102" s="715" t="s">
        <v>518</v>
      </c>
      <c r="B102" s="716" t="s">
        <v>3041</v>
      </c>
      <c r="C102" s="716" t="s">
        <v>3029</v>
      </c>
      <c r="D102" s="716" t="s">
        <v>3223</v>
      </c>
      <c r="E102" s="716" t="s">
        <v>3224</v>
      </c>
      <c r="F102" s="720">
        <v>1</v>
      </c>
      <c r="G102" s="720">
        <v>0</v>
      </c>
      <c r="H102" s="720"/>
      <c r="I102" s="720">
        <v>0</v>
      </c>
      <c r="J102" s="720"/>
      <c r="K102" s="720"/>
      <c r="L102" s="720"/>
      <c r="M102" s="720"/>
      <c r="N102" s="720"/>
      <c r="O102" s="720"/>
      <c r="P102" s="745"/>
      <c r="Q102" s="721"/>
    </row>
    <row r="103" spans="1:17" ht="14.45" customHeight="1" x14ac:dyDescent="0.2">
      <c r="A103" s="715" t="s">
        <v>518</v>
      </c>
      <c r="B103" s="716" t="s">
        <v>3041</v>
      </c>
      <c r="C103" s="716" t="s">
        <v>3029</v>
      </c>
      <c r="D103" s="716" t="s">
        <v>3225</v>
      </c>
      <c r="E103" s="716" t="s">
        <v>3226</v>
      </c>
      <c r="F103" s="720">
        <v>1</v>
      </c>
      <c r="G103" s="720">
        <v>6206</v>
      </c>
      <c r="H103" s="720">
        <v>0.99855189058728877</v>
      </c>
      <c r="I103" s="720">
        <v>6206</v>
      </c>
      <c r="J103" s="720">
        <v>1</v>
      </c>
      <c r="K103" s="720">
        <v>6215</v>
      </c>
      <c r="L103" s="720">
        <v>1</v>
      </c>
      <c r="M103" s="720">
        <v>6215</v>
      </c>
      <c r="N103" s="720">
        <v>2</v>
      </c>
      <c r="O103" s="720">
        <v>12496</v>
      </c>
      <c r="P103" s="745">
        <v>2.0106194690265489</v>
      </c>
      <c r="Q103" s="721">
        <v>6248</v>
      </c>
    </row>
    <row r="104" spans="1:17" ht="14.45" customHeight="1" x14ac:dyDescent="0.2">
      <c r="A104" s="715" t="s">
        <v>518</v>
      </c>
      <c r="B104" s="716" t="s">
        <v>3041</v>
      </c>
      <c r="C104" s="716" t="s">
        <v>3029</v>
      </c>
      <c r="D104" s="716" t="s">
        <v>3227</v>
      </c>
      <c r="E104" s="716" t="s">
        <v>3228</v>
      </c>
      <c r="F104" s="720"/>
      <c r="G104" s="720"/>
      <c r="H104" s="720"/>
      <c r="I104" s="720"/>
      <c r="J104" s="720"/>
      <c r="K104" s="720"/>
      <c r="L104" s="720"/>
      <c r="M104" s="720"/>
      <c r="N104" s="720">
        <v>1</v>
      </c>
      <c r="O104" s="720">
        <v>1399</v>
      </c>
      <c r="P104" s="745"/>
      <c r="Q104" s="721">
        <v>1399</v>
      </c>
    </row>
    <row r="105" spans="1:17" ht="14.45" customHeight="1" x14ac:dyDescent="0.2">
      <c r="A105" s="715" t="s">
        <v>518</v>
      </c>
      <c r="B105" s="716" t="s">
        <v>3041</v>
      </c>
      <c r="C105" s="716" t="s">
        <v>3029</v>
      </c>
      <c r="D105" s="716" t="s">
        <v>3229</v>
      </c>
      <c r="E105" s="716" t="s">
        <v>3230</v>
      </c>
      <c r="F105" s="720"/>
      <c r="G105" s="720"/>
      <c r="H105" s="720"/>
      <c r="I105" s="720"/>
      <c r="J105" s="720">
        <v>1</v>
      </c>
      <c r="K105" s="720">
        <v>1970</v>
      </c>
      <c r="L105" s="720">
        <v>1</v>
      </c>
      <c r="M105" s="720">
        <v>1970</v>
      </c>
      <c r="N105" s="720">
        <v>2</v>
      </c>
      <c r="O105" s="720">
        <v>3962</v>
      </c>
      <c r="P105" s="745">
        <v>2.0111675126903554</v>
      </c>
      <c r="Q105" s="721">
        <v>1981</v>
      </c>
    </row>
    <row r="106" spans="1:17" ht="14.45" customHeight="1" x14ac:dyDescent="0.2">
      <c r="A106" s="715" t="s">
        <v>518</v>
      </c>
      <c r="B106" s="716" t="s">
        <v>3041</v>
      </c>
      <c r="C106" s="716" t="s">
        <v>3029</v>
      </c>
      <c r="D106" s="716" t="s">
        <v>3231</v>
      </c>
      <c r="E106" s="716" t="s">
        <v>3232</v>
      </c>
      <c r="F106" s="720">
        <v>1</v>
      </c>
      <c r="G106" s="720">
        <v>0</v>
      </c>
      <c r="H106" s="720"/>
      <c r="I106" s="720">
        <v>0</v>
      </c>
      <c r="J106" s="720"/>
      <c r="K106" s="720"/>
      <c r="L106" s="720"/>
      <c r="M106" s="720"/>
      <c r="N106" s="720"/>
      <c r="O106" s="720"/>
      <c r="P106" s="745"/>
      <c r="Q106" s="721"/>
    </row>
    <row r="107" spans="1:17" ht="14.45" customHeight="1" x14ac:dyDescent="0.2">
      <c r="A107" s="715" t="s">
        <v>518</v>
      </c>
      <c r="B107" s="716" t="s">
        <v>3041</v>
      </c>
      <c r="C107" s="716" t="s">
        <v>3029</v>
      </c>
      <c r="D107" s="716" t="s">
        <v>3233</v>
      </c>
      <c r="E107" s="716" t="s">
        <v>3234</v>
      </c>
      <c r="F107" s="720"/>
      <c r="G107" s="720"/>
      <c r="H107" s="720"/>
      <c r="I107" s="720"/>
      <c r="J107" s="720"/>
      <c r="K107" s="720"/>
      <c r="L107" s="720"/>
      <c r="M107" s="720"/>
      <c r="N107" s="720">
        <v>2</v>
      </c>
      <c r="O107" s="720">
        <v>0</v>
      </c>
      <c r="P107" s="745"/>
      <c r="Q107" s="721">
        <v>0</v>
      </c>
    </row>
    <row r="108" spans="1:17" ht="14.45" customHeight="1" x14ac:dyDescent="0.2">
      <c r="A108" s="715" t="s">
        <v>518</v>
      </c>
      <c r="B108" s="716" t="s">
        <v>3041</v>
      </c>
      <c r="C108" s="716" t="s">
        <v>3029</v>
      </c>
      <c r="D108" s="716" t="s">
        <v>3235</v>
      </c>
      <c r="E108" s="716" t="s">
        <v>3236</v>
      </c>
      <c r="F108" s="720">
        <v>1</v>
      </c>
      <c r="G108" s="720">
        <v>3531</v>
      </c>
      <c r="H108" s="720">
        <v>0.99802148106274735</v>
      </c>
      <c r="I108" s="720">
        <v>3531</v>
      </c>
      <c r="J108" s="720">
        <v>1</v>
      </c>
      <c r="K108" s="720">
        <v>3538</v>
      </c>
      <c r="L108" s="720">
        <v>1</v>
      </c>
      <c r="M108" s="720">
        <v>3538</v>
      </c>
      <c r="N108" s="720"/>
      <c r="O108" s="720"/>
      <c r="P108" s="745"/>
      <c r="Q108" s="721"/>
    </row>
    <row r="109" spans="1:17" ht="14.45" customHeight="1" x14ac:dyDescent="0.2">
      <c r="A109" s="715" t="s">
        <v>518</v>
      </c>
      <c r="B109" s="716" t="s">
        <v>3041</v>
      </c>
      <c r="C109" s="716" t="s">
        <v>3029</v>
      </c>
      <c r="D109" s="716" t="s">
        <v>3237</v>
      </c>
      <c r="E109" s="716" t="s">
        <v>3238</v>
      </c>
      <c r="F109" s="720">
        <v>1</v>
      </c>
      <c r="G109" s="720">
        <v>8450</v>
      </c>
      <c r="H109" s="720"/>
      <c r="I109" s="720">
        <v>8450</v>
      </c>
      <c r="J109" s="720"/>
      <c r="K109" s="720"/>
      <c r="L109" s="720"/>
      <c r="M109" s="720"/>
      <c r="N109" s="720"/>
      <c r="O109" s="720"/>
      <c r="P109" s="745"/>
      <c r="Q109" s="721"/>
    </row>
    <row r="110" spans="1:17" ht="14.45" customHeight="1" x14ac:dyDescent="0.2">
      <c r="A110" s="715" t="s">
        <v>518</v>
      </c>
      <c r="B110" s="716" t="s">
        <v>3041</v>
      </c>
      <c r="C110" s="716" t="s">
        <v>3029</v>
      </c>
      <c r="D110" s="716" t="s">
        <v>3239</v>
      </c>
      <c r="E110" s="716" t="s">
        <v>3240</v>
      </c>
      <c r="F110" s="720"/>
      <c r="G110" s="720"/>
      <c r="H110" s="720"/>
      <c r="I110" s="720"/>
      <c r="J110" s="720"/>
      <c r="K110" s="720"/>
      <c r="L110" s="720"/>
      <c r="M110" s="720"/>
      <c r="N110" s="720">
        <v>3</v>
      </c>
      <c r="O110" s="720">
        <v>0</v>
      </c>
      <c r="P110" s="745"/>
      <c r="Q110" s="721">
        <v>0</v>
      </c>
    </row>
    <row r="111" spans="1:17" ht="14.45" customHeight="1" x14ac:dyDescent="0.2">
      <c r="A111" s="715" t="s">
        <v>518</v>
      </c>
      <c r="B111" s="716" t="s">
        <v>3041</v>
      </c>
      <c r="C111" s="716" t="s">
        <v>3029</v>
      </c>
      <c r="D111" s="716" t="s">
        <v>3239</v>
      </c>
      <c r="E111" s="716" t="s">
        <v>3241</v>
      </c>
      <c r="F111" s="720"/>
      <c r="G111" s="720"/>
      <c r="H111" s="720"/>
      <c r="I111" s="720"/>
      <c r="J111" s="720"/>
      <c r="K111" s="720"/>
      <c r="L111" s="720"/>
      <c r="M111" s="720"/>
      <c r="N111" s="720">
        <v>1</v>
      </c>
      <c r="O111" s="720">
        <v>0</v>
      </c>
      <c r="P111" s="745"/>
      <c r="Q111" s="721">
        <v>0</v>
      </c>
    </row>
    <row r="112" spans="1:17" ht="14.45" customHeight="1" x14ac:dyDescent="0.2">
      <c r="A112" s="715" t="s">
        <v>518</v>
      </c>
      <c r="B112" s="716" t="s">
        <v>3041</v>
      </c>
      <c r="C112" s="716" t="s">
        <v>3029</v>
      </c>
      <c r="D112" s="716" t="s">
        <v>3242</v>
      </c>
      <c r="E112" s="716" t="s">
        <v>3243</v>
      </c>
      <c r="F112" s="720">
        <v>1</v>
      </c>
      <c r="G112" s="720">
        <v>8593</v>
      </c>
      <c r="H112" s="720"/>
      <c r="I112" s="720">
        <v>8593</v>
      </c>
      <c r="J112" s="720"/>
      <c r="K112" s="720"/>
      <c r="L112" s="720"/>
      <c r="M112" s="720"/>
      <c r="N112" s="720"/>
      <c r="O112" s="720"/>
      <c r="P112" s="745"/>
      <c r="Q112" s="721"/>
    </row>
    <row r="113" spans="1:17" ht="14.45" customHeight="1" x14ac:dyDescent="0.2">
      <c r="A113" s="715" t="s">
        <v>518</v>
      </c>
      <c r="B113" s="716" t="s">
        <v>3041</v>
      </c>
      <c r="C113" s="716" t="s">
        <v>3029</v>
      </c>
      <c r="D113" s="716" t="s">
        <v>3244</v>
      </c>
      <c r="E113" s="716" t="s">
        <v>3245</v>
      </c>
      <c r="F113" s="720">
        <v>2</v>
      </c>
      <c r="G113" s="720">
        <v>0</v>
      </c>
      <c r="H113" s="720"/>
      <c r="I113" s="720">
        <v>0</v>
      </c>
      <c r="J113" s="720"/>
      <c r="K113" s="720"/>
      <c r="L113" s="720"/>
      <c r="M113" s="720"/>
      <c r="N113" s="720"/>
      <c r="O113" s="720"/>
      <c r="P113" s="745"/>
      <c r="Q113" s="721"/>
    </row>
    <row r="114" spans="1:17" ht="14.45" customHeight="1" x14ac:dyDescent="0.2">
      <c r="A114" s="715" t="s">
        <v>518</v>
      </c>
      <c r="B114" s="716" t="s">
        <v>3041</v>
      </c>
      <c r="C114" s="716" t="s">
        <v>3029</v>
      </c>
      <c r="D114" s="716" t="s">
        <v>3246</v>
      </c>
      <c r="E114" s="716" t="s">
        <v>3247</v>
      </c>
      <c r="F114" s="720"/>
      <c r="G114" s="720"/>
      <c r="H114" s="720"/>
      <c r="I114" s="720"/>
      <c r="J114" s="720">
        <v>1</v>
      </c>
      <c r="K114" s="720">
        <v>1806</v>
      </c>
      <c r="L114" s="720">
        <v>1</v>
      </c>
      <c r="M114" s="720">
        <v>1806</v>
      </c>
      <c r="N114" s="720"/>
      <c r="O114" s="720"/>
      <c r="P114" s="745"/>
      <c r="Q114" s="721"/>
    </row>
    <row r="115" spans="1:17" ht="14.45" customHeight="1" x14ac:dyDescent="0.2">
      <c r="A115" s="715" t="s">
        <v>518</v>
      </c>
      <c r="B115" s="716" t="s">
        <v>3041</v>
      </c>
      <c r="C115" s="716" t="s">
        <v>3029</v>
      </c>
      <c r="D115" s="716" t="s">
        <v>3248</v>
      </c>
      <c r="E115" s="716" t="s">
        <v>3249</v>
      </c>
      <c r="F115" s="720"/>
      <c r="G115" s="720"/>
      <c r="H115" s="720"/>
      <c r="I115" s="720"/>
      <c r="J115" s="720"/>
      <c r="K115" s="720"/>
      <c r="L115" s="720"/>
      <c r="M115" s="720"/>
      <c r="N115" s="720">
        <v>2</v>
      </c>
      <c r="O115" s="720">
        <v>0</v>
      </c>
      <c r="P115" s="745"/>
      <c r="Q115" s="721">
        <v>0</v>
      </c>
    </row>
    <row r="116" spans="1:17" ht="14.45" customHeight="1" x14ac:dyDescent="0.2">
      <c r="A116" s="715" t="s">
        <v>518</v>
      </c>
      <c r="B116" s="716" t="s">
        <v>3041</v>
      </c>
      <c r="C116" s="716" t="s">
        <v>3029</v>
      </c>
      <c r="D116" s="716" t="s">
        <v>3250</v>
      </c>
      <c r="E116" s="716" t="s">
        <v>3251</v>
      </c>
      <c r="F116" s="720">
        <v>1</v>
      </c>
      <c r="G116" s="720">
        <v>0</v>
      </c>
      <c r="H116" s="720"/>
      <c r="I116" s="720">
        <v>0</v>
      </c>
      <c r="J116" s="720"/>
      <c r="K116" s="720"/>
      <c r="L116" s="720"/>
      <c r="M116" s="720"/>
      <c r="N116" s="720"/>
      <c r="O116" s="720"/>
      <c r="P116" s="745"/>
      <c r="Q116" s="721"/>
    </row>
    <row r="117" spans="1:17" ht="14.45" customHeight="1" x14ac:dyDescent="0.2">
      <c r="A117" s="715" t="s">
        <v>518</v>
      </c>
      <c r="B117" s="716" t="s">
        <v>3041</v>
      </c>
      <c r="C117" s="716" t="s">
        <v>3029</v>
      </c>
      <c r="D117" s="716" t="s">
        <v>3252</v>
      </c>
      <c r="E117" s="716" t="s">
        <v>3253</v>
      </c>
      <c r="F117" s="720"/>
      <c r="G117" s="720"/>
      <c r="H117" s="720"/>
      <c r="I117" s="720"/>
      <c r="J117" s="720">
        <v>1</v>
      </c>
      <c r="K117" s="720">
        <v>0</v>
      </c>
      <c r="L117" s="720"/>
      <c r="M117" s="720">
        <v>0</v>
      </c>
      <c r="N117" s="720"/>
      <c r="O117" s="720"/>
      <c r="P117" s="745"/>
      <c r="Q117" s="721"/>
    </row>
    <row r="118" spans="1:17" ht="14.45" customHeight="1" x14ac:dyDescent="0.2">
      <c r="A118" s="715" t="s">
        <v>518</v>
      </c>
      <c r="B118" s="716" t="s">
        <v>3041</v>
      </c>
      <c r="C118" s="716" t="s">
        <v>3029</v>
      </c>
      <c r="D118" s="716" t="s">
        <v>3254</v>
      </c>
      <c r="E118" s="716" t="s">
        <v>3255</v>
      </c>
      <c r="F118" s="720">
        <v>1</v>
      </c>
      <c r="G118" s="720">
        <v>0</v>
      </c>
      <c r="H118" s="720"/>
      <c r="I118" s="720">
        <v>0</v>
      </c>
      <c r="J118" s="720"/>
      <c r="K118" s="720"/>
      <c r="L118" s="720"/>
      <c r="M118" s="720"/>
      <c r="N118" s="720"/>
      <c r="O118" s="720"/>
      <c r="P118" s="745"/>
      <c r="Q118" s="721"/>
    </row>
    <row r="119" spans="1:17" ht="14.45" customHeight="1" x14ac:dyDescent="0.2">
      <c r="A119" s="715" t="s">
        <v>518</v>
      </c>
      <c r="B119" s="716" t="s">
        <v>3041</v>
      </c>
      <c r="C119" s="716" t="s">
        <v>3029</v>
      </c>
      <c r="D119" s="716" t="s">
        <v>3256</v>
      </c>
      <c r="E119" s="716" t="s">
        <v>3257</v>
      </c>
      <c r="F119" s="720">
        <v>1</v>
      </c>
      <c r="G119" s="720">
        <v>0</v>
      </c>
      <c r="H119" s="720"/>
      <c r="I119" s="720">
        <v>0</v>
      </c>
      <c r="J119" s="720"/>
      <c r="K119" s="720"/>
      <c r="L119" s="720"/>
      <c r="M119" s="720"/>
      <c r="N119" s="720"/>
      <c r="O119" s="720"/>
      <c r="P119" s="745"/>
      <c r="Q119" s="721"/>
    </row>
    <row r="120" spans="1:17" ht="14.45" customHeight="1" x14ac:dyDescent="0.2">
      <c r="A120" s="715" t="s">
        <v>518</v>
      </c>
      <c r="B120" s="716" t="s">
        <v>3041</v>
      </c>
      <c r="C120" s="716" t="s">
        <v>3029</v>
      </c>
      <c r="D120" s="716" t="s">
        <v>3258</v>
      </c>
      <c r="E120" s="716" t="s">
        <v>3259</v>
      </c>
      <c r="F120" s="720"/>
      <c r="G120" s="720"/>
      <c r="H120" s="720"/>
      <c r="I120" s="720"/>
      <c r="J120" s="720">
        <v>1</v>
      </c>
      <c r="K120" s="720">
        <v>0</v>
      </c>
      <c r="L120" s="720"/>
      <c r="M120" s="720">
        <v>0</v>
      </c>
      <c r="N120" s="720"/>
      <c r="O120" s="720"/>
      <c r="P120" s="745"/>
      <c r="Q120" s="721"/>
    </row>
    <row r="121" spans="1:17" ht="14.45" customHeight="1" x14ac:dyDescent="0.2">
      <c r="A121" s="715" t="s">
        <v>518</v>
      </c>
      <c r="B121" s="716" t="s">
        <v>3041</v>
      </c>
      <c r="C121" s="716" t="s">
        <v>3029</v>
      </c>
      <c r="D121" s="716" t="s">
        <v>3260</v>
      </c>
      <c r="E121" s="716" t="s">
        <v>3261</v>
      </c>
      <c r="F121" s="720">
        <v>1</v>
      </c>
      <c r="G121" s="720">
        <v>0</v>
      </c>
      <c r="H121" s="720"/>
      <c r="I121" s="720">
        <v>0</v>
      </c>
      <c r="J121" s="720"/>
      <c r="K121" s="720"/>
      <c r="L121" s="720"/>
      <c r="M121" s="720"/>
      <c r="N121" s="720"/>
      <c r="O121" s="720"/>
      <c r="P121" s="745"/>
      <c r="Q121" s="721"/>
    </row>
    <row r="122" spans="1:17" ht="14.45" customHeight="1" x14ac:dyDescent="0.2">
      <c r="A122" s="715" t="s">
        <v>518</v>
      </c>
      <c r="B122" s="716" t="s">
        <v>3041</v>
      </c>
      <c r="C122" s="716" t="s">
        <v>3029</v>
      </c>
      <c r="D122" s="716" t="s">
        <v>3262</v>
      </c>
      <c r="E122" s="716" t="s">
        <v>3263</v>
      </c>
      <c r="F122" s="720">
        <v>1</v>
      </c>
      <c r="G122" s="720">
        <v>0</v>
      </c>
      <c r="H122" s="720"/>
      <c r="I122" s="720">
        <v>0</v>
      </c>
      <c r="J122" s="720"/>
      <c r="K122" s="720"/>
      <c r="L122" s="720"/>
      <c r="M122" s="720"/>
      <c r="N122" s="720"/>
      <c r="O122" s="720"/>
      <c r="P122" s="745"/>
      <c r="Q122" s="721"/>
    </row>
    <row r="123" spans="1:17" ht="14.45" customHeight="1" x14ac:dyDescent="0.2">
      <c r="A123" s="715" t="s">
        <v>518</v>
      </c>
      <c r="B123" s="716" t="s">
        <v>3041</v>
      </c>
      <c r="C123" s="716" t="s">
        <v>3029</v>
      </c>
      <c r="D123" s="716" t="s">
        <v>3264</v>
      </c>
      <c r="E123" s="716" t="s">
        <v>3265</v>
      </c>
      <c r="F123" s="720"/>
      <c r="G123" s="720"/>
      <c r="H123" s="720"/>
      <c r="I123" s="720"/>
      <c r="J123" s="720"/>
      <c r="K123" s="720"/>
      <c r="L123" s="720"/>
      <c r="M123" s="720"/>
      <c r="N123" s="720">
        <v>12</v>
      </c>
      <c r="O123" s="720">
        <v>0</v>
      </c>
      <c r="P123" s="745"/>
      <c r="Q123" s="721">
        <v>0</v>
      </c>
    </row>
    <row r="124" spans="1:17" ht="14.45" customHeight="1" x14ac:dyDescent="0.2">
      <c r="A124" s="715" t="s">
        <v>518</v>
      </c>
      <c r="B124" s="716" t="s">
        <v>3041</v>
      </c>
      <c r="C124" s="716" t="s">
        <v>3029</v>
      </c>
      <c r="D124" s="716" t="s">
        <v>3266</v>
      </c>
      <c r="E124" s="716" t="s">
        <v>3267</v>
      </c>
      <c r="F124" s="720"/>
      <c r="G124" s="720"/>
      <c r="H124" s="720"/>
      <c r="I124" s="720"/>
      <c r="J124" s="720"/>
      <c r="K124" s="720"/>
      <c r="L124" s="720"/>
      <c r="M124" s="720"/>
      <c r="N124" s="720">
        <v>1</v>
      </c>
      <c r="O124" s="720">
        <v>0</v>
      </c>
      <c r="P124" s="745"/>
      <c r="Q124" s="721">
        <v>0</v>
      </c>
    </row>
    <row r="125" spans="1:17" ht="14.45" customHeight="1" x14ac:dyDescent="0.2">
      <c r="A125" s="715" t="s">
        <v>518</v>
      </c>
      <c r="B125" s="716" t="s">
        <v>3041</v>
      </c>
      <c r="C125" s="716" t="s">
        <v>3029</v>
      </c>
      <c r="D125" s="716" t="s">
        <v>3268</v>
      </c>
      <c r="E125" s="716" t="s">
        <v>3269</v>
      </c>
      <c r="F125" s="720"/>
      <c r="G125" s="720"/>
      <c r="H125" s="720"/>
      <c r="I125" s="720"/>
      <c r="J125" s="720"/>
      <c r="K125" s="720"/>
      <c r="L125" s="720"/>
      <c r="M125" s="720"/>
      <c r="N125" s="720">
        <v>2</v>
      </c>
      <c r="O125" s="720">
        <v>0</v>
      </c>
      <c r="P125" s="745"/>
      <c r="Q125" s="721">
        <v>0</v>
      </c>
    </row>
    <row r="126" spans="1:17" ht="14.45" customHeight="1" x14ac:dyDescent="0.2">
      <c r="A126" s="715" t="s">
        <v>518</v>
      </c>
      <c r="B126" s="716" t="s">
        <v>3041</v>
      </c>
      <c r="C126" s="716" t="s">
        <v>3029</v>
      </c>
      <c r="D126" s="716" t="s">
        <v>3270</v>
      </c>
      <c r="E126" s="716" t="s">
        <v>3271</v>
      </c>
      <c r="F126" s="720"/>
      <c r="G126" s="720"/>
      <c r="H126" s="720"/>
      <c r="I126" s="720"/>
      <c r="J126" s="720"/>
      <c r="K126" s="720"/>
      <c r="L126" s="720"/>
      <c r="M126" s="720"/>
      <c r="N126" s="720">
        <v>4</v>
      </c>
      <c r="O126" s="720">
        <v>0</v>
      </c>
      <c r="P126" s="745"/>
      <c r="Q126" s="721">
        <v>0</v>
      </c>
    </row>
    <row r="127" spans="1:17" ht="14.45" customHeight="1" x14ac:dyDescent="0.2">
      <c r="A127" s="715" t="s">
        <v>518</v>
      </c>
      <c r="B127" s="716" t="s">
        <v>3041</v>
      </c>
      <c r="C127" s="716" t="s">
        <v>3029</v>
      </c>
      <c r="D127" s="716" t="s">
        <v>3272</v>
      </c>
      <c r="E127" s="716" t="s">
        <v>3273</v>
      </c>
      <c r="F127" s="720"/>
      <c r="G127" s="720"/>
      <c r="H127" s="720"/>
      <c r="I127" s="720"/>
      <c r="J127" s="720">
        <v>1</v>
      </c>
      <c r="K127" s="720">
        <v>0</v>
      </c>
      <c r="L127" s="720"/>
      <c r="M127" s="720">
        <v>0</v>
      </c>
      <c r="N127" s="720"/>
      <c r="O127" s="720"/>
      <c r="P127" s="745"/>
      <c r="Q127" s="721"/>
    </row>
    <row r="128" spans="1:17" ht="14.45" customHeight="1" x14ac:dyDescent="0.2">
      <c r="A128" s="715" t="s">
        <v>518</v>
      </c>
      <c r="B128" s="716" t="s">
        <v>3041</v>
      </c>
      <c r="C128" s="716" t="s">
        <v>3029</v>
      </c>
      <c r="D128" s="716" t="s">
        <v>3274</v>
      </c>
      <c r="E128" s="716" t="s">
        <v>3275</v>
      </c>
      <c r="F128" s="720">
        <v>1</v>
      </c>
      <c r="G128" s="720">
        <v>0</v>
      </c>
      <c r="H128" s="720"/>
      <c r="I128" s="720">
        <v>0</v>
      </c>
      <c r="J128" s="720"/>
      <c r="K128" s="720"/>
      <c r="L128" s="720"/>
      <c r="M128" s="720"/>
      <c r="N128" s="720"/>
      <c r="O128" s="720"/>
      <c r="P128" s="745"/>
      <c r="Q128" s="721"/>
    </row>
    <row r="129" spans="1:17" ht="14.45" customHeight="1" x14ac:dyDescent="0.2">
      <c r="A129" s="715" t="s">
        <v>518</v>
      </c>
      <c r="B129" s="716" t="s">
        <v>3041</v>
      </c>
      <c r="C129" s="716" t="s">
        <v>3029</v>
      </c>
      <c r="D129" s="716" t="s">
        <v>3276</v>
      </c>
      <c r="E129" s="716" t="s">
        <v>3277</v>
      </c>
      <c r="F129" s="720"/>
      <c r="G129" s="720"/>
      <c r="H129" s="720"/>
      <c r="I129" s="720"/>
      <c r="J129" s="720">
        <v>1</v>
      </c>
      <c r="K129" s="720">
        <v>0</v>
      </c>
      <c r="L129" s="720"/>
      <c r="M129" s="720">
        <v>0</v>
      </c>
      <c r="N129" s="720"/>
      <c r="O129" s="720"/>
      <c r="P129" s="745"/>
      <c r="Q129" s="721"/>
    </row>
    <row r="130" spans="1:17" ht="14.45" customHeight="1" x14ac:dyDescent="0.2">
      <c r="A130" s="715" t="s">
        <v>518</v>
      </c>
      <c r="B130" s="716" t="s">
        <v>3041</v>
      </c>
      <c r="C130" s="716" t="s">
        <v>3029</v>
      </c>
      <c r="D130" s="716" t="s">
        <v>3278</v>
      </c>
      <c r="E130" s="716" t="s">
        <v>3251</v>
      </c>
      <c r="F130" s="720">
        <v>1</v>
      </c>
      <c r="G130" s="720">
        <v>0</v>
      </c>
      <c r="H130" s="720"/>
      <c r="I130" s="720">
        <v>0</v>
      </c>
      <c r="J130" s="720"/>
      <c r="K130" s="720"/>
      <c r="L130" s="720"/>
      <c r="M130" s="720"/>
      <c r="N130" s="720"/>
      <c r="O130" s="720"/>
      <c r="P130" s="745"/>
      <c r="Q130" s="721"/>
    </row>
    <row r="131" spans="1:17" ht="14.45" customHeight="1" x14ac:dyDescent="0.2">
      <c r="A131" s="715" t="s">
        <v>518</v>
      </c>
      <c r="B131" s="716" t="s">
        <v>3279</v>
      </c>
      <c r="C131" s="716" t="s">
        <v>3029</v>
      </c>
      <c r="D131" s="716" t="s">
        <v>3078</v>
      </c>
      <c r="E131" s="716" t="s">
        <v>3079</v>
      </c>
      <c r="F131" s="720">
        <v>12</v>
      </c>
      <c r="G131" s="720">
        <v>8520</v>
      </c>
      <c r="H131" s="720">
        <v>11.966292134831461</v>
      </c>
      <c r="I131" s="720">
        <v>710</v>
      </c>
      <c r="J131" s="720">
        <v>1</v>
      </c>
      <c r="K131" s="720">
        <v>712</v>
      </c>
      <c r="L131" s="720">
        <v>1</v>
      </c>
      <c r="M131" s="720">
        <v>712</v>
      </c>
      <c r="N131" s="720">
        <v>7</v>
      </c>
      <c r="O131" s="720">
        <v>5915</v>
      </c>
      <c r="P131" s="745">
        <v>8.3075842696629216</v>
      </c>
      <c r="Q131" s="721">
        <v>845</v>
      </c>
    </row>
    <row r="132" spans="1:17" ht="14.45" customHeight="1" x14ac:dyDescent="0.2">
      <c r="A132" s="715" t="s">
        <v>518</v>
      </c>
      <c r="B132" s="716" t="s">
        <v>3279</v>
      </c>
      <c r="C132" s="716" t="s">
        <v>3029</v>
      </c>
      <c r="D132" s="716" t="s">
        <v>3280</v>
      </c>
      <c r="E132" s="716" t="s">
        <v>3281</v>
      </c>
      <c r="F132" s="720"/>
      <c r="G132" s="720"/>
      <c r="H132" s="720"/>
      <c r="I132" s="720"/>
      <c r="J132" s="720"/>
      <c r="K132" s="720"/>
      <c r="L132" s="720"/>
      <c r="M132" s="720"/>
      <c r="N132" s="720">
        <v>1</v>
      </c>
      <c r="O132" s="720">
        <v>242</v>
      </c>
      <c r="P132" s="745"/>
      <c r="Q132" s="721">
        <v>242</v>
      </c>
    </row>
    <row r="133" spans="1:17" ht="14.45" customHeight="1" x14ac:dyDescent="0.2">
      <c r="A133" s="715" t="s">
        <v>518</v>
      </c>
      <c r="B133" s="716" t="s">
        <v>3279</v>
      </c>
      <c r="C133" s="716" t="s">
        <v>3029</v>
      </c>
      <c r="D133" s="716" t="s">
        <v>3282</v>
      </c>
      <c r="E133" s="716" t="s">
        <v>3283</v>
      </c>
      <c r="F133" s="720"/>
      <c r="G133" s="720"/>
      <c r="H133" s="720"/>
      <c r="I133" s="720"/>
      <c r="J133" s="720">
        <v>1</v>
      </c>
      <c r="K133" s="720">
        <v>604</v>
      </c>
      <c r="L133" s="720">
        <v>1</v>
      </c>
      <c r="M133" s="720">
        <v>604</v>
      </c>
      <c r="N133" s="720"/>
      <c r="O133" s="720"/>
      <c r="P133" s="745"/>
      <c r="Q133" s="721"/>
    </row>
    <row r="134" spans="1:17" ht="14.45" customHeight="1" x14ac:dyDescent="0.2">
      <c r="A134" s="715" t="s">
        <v>518</v>
      </c>
      <c r="B134" s="716" t="s">
        <v>3279</v>
      </c>
      <c r="C134" s="716" t="s">
        <v>3029</v>
      </c>
      <c r="D134" s="716" t="s">
        <v>3284</v>
      </c>
      <c r="E134" s="716" t="s">
        <v>3285</v>
      </c>
      <c r="F134" s="720">
        <v>1</v>
      </c>
      <c r="G134" s="720">
        <v>97</v>
      </c>
      <c r="H134" s="720">
        <v>0.3991769547325103</v>
      </c>
      <c r="I134" s="720">
        <v>97</v>
      </c>
      <c r="J134" s="720">
        <v>3</v>
      </c>
      <c r="K134" s="720">
        <v>243</v>
      </c>
      <c r="L134" s="720">
        <v>1</v>
      </c>
      <c r="M134" s="720">
        <v>81</v>
      </c>
      <c r="N134" s="720">
        <v>1</v>
      </c>
      <c r="O134" s="720">
        <v>81</v>
      </c>
      <c r="P134" s="745">
        <v>0.33333333333333331</v>
      </c>
      <c r="Q134" s="721">
        <v>81</v>
      </c>
    </row>
    <row r="135" spans="1:17" ht="14.45" customHeight="1" x14ac:dyDescent="0.2">
      <c r="A135" s="715" t="s">
        <v>518</v>
      </c>
      <c r="B135" s="716" t="s">
        <v>3279</v>
      </c>
      <c r="C135" s="716" t="s">
        <v>3029</v>
      </c>
      <c r="D135" s="716" t="s">
        <v>3286</v>
      </c>
      <c r="E135" s="716" t="s">
        <v>3287</v>
      </c>
      <c r="F135" s="720"/>
      <c r="G135" s="720"/>
      <c r="H135" s="720"/>
      <c r="I135" s="720"/>
      <c r="J135" s="720"/>
      <c r="K135" s="720"/>
      <c r="L135" s="720"/>
      <c r="M135" s="720"/>
      <c r="N135" s="720">
        <v>2</v>
      </c>
      <c r="O135" s="720">
        <v>488</v>
      </c>
      <c r="P135" s="745"/>
      <c r="Q135" s="721">
        <v>244</v>
      </c>
    </row>
    <row r="136" spans="1:17" ht="14.45" customHeight="1" x14ac:dyDescent="0.2">
      <c r="A136" s="715" t="s">
        <v>518</v>
      </c>
      <c r="B136" s="716" t="s">
        <v>3279</v>
      </c>
      <c r="C136" s="716" t="s">
        <v>3029</v>
      </c>
      <c r="D136" s="716" t="s">
        <v>3288</v>
      </c>
      <c r="E136" s="716" t="s">
        <v>3289</v>
      </c>
      <c r="F136" s="720">
        <v>2</v>
      </c>
      <c r="G136" s="720">
        <v>7304</v>
      </c>
      <c r="H136" s="720">
        <v>1.9967195188627664</v>
      </c>
      <c r="I136" s="720">
        <v>3652</v>
      </c>
      <c r="J136" s="720">
        <v>1</v>
      </c>
      <c r="K136" s="720">
        <v>3658</v>
      </c>
      <c r="L136" s="720">
        <v>1</v>
      </c>
      <c r="M136" s="720">
        <v>3658</v>
      </c>
      <c r="N136" s="720">
        <v>3</v>
      </c>
      <c r="O136" s="720">
        <v>11040</v>
      </c>
      <c r="P136" s="745">
        <v>3.0180426462547842</v>
      </c>
      <c r="Q136" s="721">
        <v>3680</v>
      </c>
    </row>
    <row r="137" spans="1:17" ht="14.45" customHeight="1" x14ac:dyDescent="0.2">
      <c r="A137" s="715" t="s">
        <v>518</v>
      </c>
      <c r="B137" s="716" t="s">
        <v>3279</v>
      </c>
      <c r="C137" s="716" t="s">
        <v>3029</v>
      </c>
      <c r="D137" s="716" t="s">
        <v>3290</v>
      </c>
      <c r="E137" s="716" t="s">
        <v>3291</v>
      </c>
      <c r="F137" s="720">
        <v>1</v>
      </c>
      <c r="G137" s="720">
        <v>4908</v>
      </c>
      <c r="H137" s="720">
        <v>0.49908480780964004</v>
      </c>
      <c r="I137" s="720">
        <v>4908</v>
      </c>
      <c r="J137" s="720">
        <v>2</v>
      </c>
      <c r="K137" s="720">
        <v>9834</v>
      </c>
      <c r="L137" s="720">
        <v>1</v>
      </c>
      <c r="M137" s="720">
        <v>4917</v>
      </c>
      <c r="N137" s="720">
        <v>1</v>
      </c>
      <c r="O137" s="720">
        <v>4949</v>
      </c>
      <c r="P137" s="745">
        <v>0.50325401667683545</v>
      </c>
      <c r="Q137" s="721">
        <v>4949</v>
      </c>
    </row>
    <row r="138" spans="1:17" ht="14.45" customHeight="1" x14ac:dyDescent="0.2">
      <c r="A138" s="715" t="s">
        <v>518</v>
      </c>
      <c r="B138" s="716" t="s">
        <v>3279</v>
      </c>
      <c r="C138" s="716" t="s">
        <v>3029</v>
      </c>
      <c r="D138" s="716" t="s">
        <v>3292</v>
      </c>
      <c r="E138" s="716" t="s">
        <v>3293</v>
      </c>
      <c r="F138" s="720"/>
      <c r="G138" s="720"/>
      <c r="H138" s="720"/>
      <c r="I138" s="720"/>
      <c r="J138" s="720"/>
      <c r="K138" s="720"/>
      <c r="L138" s="720"/>
      <c r="M138" s="720"/>
      <c r="N138" s="720">
        <v>1</v>
      </c>
      <c r="O138" s="720">
        <v>122</v>
      </c>
      <c r="P138" s="745"/>
      <c r="Q138" s="721">
        <v>122</v>
      </c>
    </row>
    <row r="139" spans="1:17" ht="14.45" customHeight="1" x14ac:dyDescent="0.2">
      <c r="A139" s="715" t="s">
        <v>518</v>
      </c>
      <c r="B139" s="716" t="s">
        <v>3279</v>
      </c>
      <c r="C139" s="716" t="s">
        <v>3029</v>
      </c>
      <c r="D139" s="716" t="s">
        <v>3294</v>
      </c>
      <c r="E139" s="716" t="s">
        <v>3295</v>
      </c>
      <c r="F139" s="720"/>
      <c r="G139" s="720"/>
      <c r="H139" s="720"/>
      <c r="I139" s="720"/>
      <c r="J139" s="720">
        <v>1</v>
      </c>
      <c r="K139" s="720">
        <v>4476</v>
      </c>
      <c r="L139" s="720">
        <v>1</v>
      </c>
      <c r="M139" s="720">
        <v>4476</v>
      </c>
      <c r="N139" s="720">
        <v>2</v>
      </c>
      <c r="O139" s="720">
        <v>8996</v>
      </c>
      <c r="P139" s="745">
        <v>2.0098302055406614</v>
      </c>
      <c r="Q139" s="721">
        <v>4498</v>
      </c>
    </row>
    <row r="140" spans="1:17" ht="14.45" customHeight="1" x14ac:dyDescent="0.2">
      <c r="A140" s="715" t="s">
        <v>518</v>
      </c>
      <c r="B140" s="716" t="s">
        <v>3279</v>
      </c>
      <c r="C140" s="716" t="s">
        <v>3029</v>
      </c>
      <c r="D140" s="716" t="s">
        <v>3296</v>
      </c>
      <c r="E140" s="716" t="s">
        <v>3297</v>
      </c>
      <c r="F140" s="720"/>
      <c r="G140" s="720"/>
      <c r="H140" s="720"/>
      <c r="I140" s="720"/>
      <c r="J140" s="720">
        <v>1</v>
      </c>
      <c r="K140" s="720">
        <v>2472</v>
      </c>
      <c r="L140" s="720">
        <v>1</v>
      </c>
      <c r="M140" s="720">
        <v>2472</v>
      </c>
      <c r="N140" s="720"/>
      <c r="O140" s="720"/>
      <c r="P140" s="745"/>
      <c r="Q140" s="721"/>
    </row>
    <row r="141" spans="1:17" ht="14.45" customHeight="1" x14ac:dyDescent="0.2">
      <c r="A141" s="715" t="s">
        <v>518</v>
      </c>
      <c r="B141" s="716" t="s">
        <v>3279</v>
      </c>
      <c r="C141" s="716" t="s">
        <v>3029</v>
      </c>
      <c r="D141" s="716" t="s">
        <v>3298</v>
      </c>
      <c r="E141" s="716" t="s">
        <v>3299</v>
      </c>
      <c r="F141" s="720">
        <v>1</v>
      </c>
      <c r="G141" s="720">
        <v>5509</v>
      </c>
      <c r="H141" s="720">
        <v>0.33297068600785734</v>
      </c>
      <c r="I141" s="720">
        <v>5509</v>
      </c>
      <c r="J141" s="720">
        <v>3</v>
      </c>
      <c r="K141" s="720">
        <v>16545</v>
      </c>
      <c r="L141" s="720">
        <v>1</v>
      </c>
      <c r="M141" s="720">
        <v>5515</v>
      </c>
      <c r="N141" s="720">
        <v>2</v>
      </c>
      <c r="O141" s="720">
        <v>11074</v>
      </c>
      <c r="P141" s="745">
        <v>0.66932608038682384</v>
      </c>
      <c r="Q141" s="721">
        <v>5537</v>
      </c>
    </row>
    <row r="142" spans="1:17" ht="14.45" customHeight="1" x14ac:dyDescent="0.2">
      <c r="A142" s="715" t="s">
        <v>518</v>
      </c>
      <c r="B142" s="716" t="s">
        <v>3279</v>
      </c>
      <c r="C142" s="716" t="s">
        <v>3029</v>
      </c>
      <c r="D142" s="716" t="s">
        <v>3300</v>
      </c>
      <c r="E142" s="716" t="s">
        <v>3301</v>
      </c>
      <c r="F142" s="720">
        <v>2</v>
      </c>
      <c r="G142" s="720">
        <v>18438</v>
      </c>
      <c r="H142" s="720"/>
      <c r="I142" s="720">
        <v>9219</v>
      </c>
      <c r="J142" s="720"/>
      <c r="K142" s="720"/>
      <c r="L142" s="720"/>
      <c r="M142" s="720"/>
      <c r="N142" s="720"/>
      <c r="O142" s="720"/>
      <c r="P142" s="745"/>
      <c r="Q142" s="721"/>
    </row>
    <row r="143" spans="1:17" ht="14.45" customHeight="1" x14ac:dyDescent="0.2">
      <c r="A143" s="715" t="s">
        <v>518</v>
      </c>
      <c r="B143" s="716" t="s">
        <v>3279</v>
      </c>
      <c r="C143" s="716" t="s">
        <v>3029</v>
      </c>
      <c r="D143" s="716" t="s">
        <v>3302</v>
      </c>
      <c r="E143" s="716" t="s">
        <v>3303</v>
      </c>
      <c r="F143" s="720">
        <v>1</v>
      </c>
      <c r="G143" s="720">
        <v>2987</v>
      </c>
      <c r="H143" s="720"/>
      <c r="I143" s="720">
        <v>2987</v>
      </c>
      <c r="J143" s="720"/>
      <c r="K143" s="720"/>
      <c r="L143" s="720"/>
      <c r="M143" s="720"/>
      <c r="N143" s="720"/>
      <c r="O143" s="720"/>
      <c r="P143" s="745"/>
      <c r="Q143" s="721"/>
    </row>
    <row r="144" spans="1:17" ht="14.45" customHeight="1" x14ac:dyDescent="0.2">
      <c r="A144" s="715" t="s">
        <v>518</v>
      </c>
      <c r="B144" s="716" t="s">
        <v>3279</v>
      </c>
      <c r="C144" s="716" t="s">
        <v>3029</v>
      </c>
      <c r="D144" s="716" t="s">
        <v>3304</v>
      </c>
      <c r="E144" s="716" t="s">
        <v>3305</v>
      </c>
      <c r="F144" s="720"/>
      <c r="G144" s="720"/>
      <c r="H144" s="720"/>
      <c r="I144" s="720"/>
      <c r="J144" s="720">
        <v>1</v>
      </c>
      <c r="K144" s="720">
        <v>1313</v>
      </c>
      <c r="L144" s="720">
        <v>1</v>
      </c>
      <c r="M144" s="720">
        <v>1313</v>
      </c>
      <c r="N144" s="720">
        <v>1</v>
      </c>
      <c r="O144" s="720">
        <v>1321</v>
      </c>
      <c r="P144" s="745">
        <v>1.006092916984006</v>
      </c>
      <c r="Q144" s="721">
        <v>1321</v>
      </c>
    </row>
    <row r="145" spans="1:17" ht="14.45" customHeight="1" x14ac:dyDescent="0.2">
      <c r="A145" s="715" t="s">
        <v>518</v>
      </c>
      <c r="B145" s="716" t="s">
        <v>3279</v>
      </c>
      <c r="C145" s="716" t="s">
        <v>3029</v>
      </c>
      <c r="D145" s="716" t="s">
        <v>3306</v>
      </c>
      <c r="E145" s="716" t="s">
        <v>3307</v>
      </c>
      <c r="F145" s="720">
        <v>5</v>
      </c>
      <c r="G145" s="720">
        <v>21330</v>
      </c>
      <c r="H145" s="720">
        <v>1.2478792488153045</v>
      </c>
      <c r="I145" s="720">
        <v>4266</v>
      </c>
      <c r="J145" s="720">
        <v>4</v>
      </c>
      <c r="K145" s="720">
        <v>17093</v>
      </c>
      <c r="L145" s="720">
        <v>1</v>
      </c>
      <c r="M145" s="720">
        <v>4273.25</v>
      </c>
      <c r="N145" s="720">
        <v>5</v>
      </c>
      <c r="O145" s="720">
        <v>21505</v>
      </c>
      <c r="P145" s="745">
        <v>1.2581173579828</v>
      </c>
      <c r="Q145" s="721">
        <v>4301</v>
      </c>
    </row>
    <row r="146" spans="1:17" ht="14.45" customHeight="1" x14ac:dyDescent="0.2">
      <c r="A146" s="715" t="s">
        <v>518</v>
      </c>
      <c r="B146" s="716" t="s">
        <v>3279</v>
      </c>
      <c r="C146" s="716" t="s">
        <v>3029</v>
      </c>
      <c r="D146" s="716" t="s">
        <v>3308</v>
      </c>
      <c r="E146" s="716" t="s">
        <v>3309</v>
      </c>
      <c r="F146" s="720">
        <v>2</v>
      </c>
      <c r="G146" s="720">
        <v>1944</v>
      </c>
      <c r="H146" s="720"/>
      <c r="I146" s="720">
        <v>972</v>
      </c>
      <c r="J146" s="720"/>
      <c r="K146" s="720"/>
      <c r="L146" s="720"/>
      <c r="M146" s="720"/>
      <c r="N146" s="720"/>
      <c r="O146" s="720"/>
      <c r="P146" s="745"/>
      <c r="Q146" s="721"/>
    </row>
    <row r="147" spans="1:17" ht="14.45" customHeight="1" x14ac:dyDescent="0.2">
      <c r="A147" s="715" t="s">
        <v>518</v>
      </c>
      <c r="B147" s="716" t="s">
        <v>3279</v>
      </c>
      <c r="C147" s="716" t="s">
        <v>3029</v>
      </c>
      <c r="D147" s="716" t="s">
        <v>3310</v>
      </c>
      <c r="E147" s="716" t="s">
        <v>3311</v>
      </c>
      <c r="F147" s="720">
        <v>1</v>
      </c>
      <c r="G147" s="720">
        <v>3092</v>
      </c>
      <c r="H147" s="720"/>
      <c r="I147" s="720">
        <v>3092</v>
      </c>
      <c r="J147" s="720"/>
      <c r="K147" s="720"/>
      <c r="L147" s="720"/>
      <c r="M147" s="720"/>
      <c r="N147" s="720"/>
      <c r="O147" s="720"/>
      <c r="P147" s="745"/>
      <c r="Q147" s="721"/>
    </row>
    <row r="148" spans="1:17" ht="14.45" customHeight="1" x14ac:dyDescent="0.2">
      <c r="A148" s="715" t="s">
        <v>518</v>
      </c>
      <c r="B148" s="716" t="s">
        <v>3279</v>
      </c>
      <c r="C148" s="716" t="s">
        <v>3029</v>
      </c>
      <c r="D148" s="716" t="s">
        <v>3312</v>
      </c>
      <c r="E148" s="716" t="s">
        <v>3313</v>
      </c>
      <c r="F148" s="720">
        <v>1</v>
      </c>
      <c r="G148" s="720">
        <v>4142</v>
      </c>
      <c r="H148" s="720"/>
      <c r="I148" s="720">
        <v>4142</v>
      </c>
      <c r="J148" s="720"/>
      <c r="K148" s="720"/>
      <c r="L148" s="720"/>
      <c r="M148" s="720"/>
      <c r="N148" s="720">
        <v>1</v>
      </c>
      <c r="O148" s="720">
        <v>4176</v>
      </c>
      <c r="P148" s="745"/>
      <c r="Q148" s="721">
        <v>4176</v>
      </c>
    </row>
    <row r="149" spans="1:17" ht="14.45" customHeight="1" x14ac:dyDescent="0.2">
      <c r="A149" s="715" t="s">
        <v>518</v>
      </c>
      <c r="B149" s="716" t="s">
        <v>3279</v>
      </c>
      <c r="C149" s="716" t="s">
        <v>3029</v>
      </c>
      <c r="D149" s="716" t="s">
        <v>3314</v>
      </c>
      <c r="E149" s="716" t="s">
        <v>3315</v>
      </c>
      <c r="F149" s="720">
        <v>1</v>
      </c>
      <c r="G149" s="720">
        <v>2952</v>
      </c>
      <c r="H149" s="720">
        <v>0.33265720081135902</v>
      </c>
      <c r="I149" s="720">
        <v>2952</v>
      </c>
      <c r="J149" s="720">
        <v>3</v>
      </c>
      <c r="K149" s="720">
        <v>8874</v>
      </c>
      <c r="L149" s="720">
        <v>1</v>
      </c>
      <c r="M149" s="720">
        <v>2958</v>
      </c>
      <c r="N149" s="720">
        <v>3</v>
      </c>
      <c r="O149" s="720">
        <v>8940</v>
      </c>
      <c r="P149" s="745">
        <v>1.0074374577417173</v>
      </c>
      <c r="Q149" s="721">
        <v>2980</v>
      </c>
    </row>
    <row r="150" spans="1:17" ht="14.45" customHeight="1" x14ac:dyDescent="0.2">
      <c r="A150" s="715" t="s">
        <v>518</v>
      </c>
      <c r="B150" s="716" t="s">
        <v>3279</v>
      </c>
      <c r="C150" s="716" t="s">
        <v>3029</v>
      </c>
      <c r="D150" s="716" t="s">
        <v>3143</v>
      </c>
      <c r="E150" s="716" t="s">
        <v>3144</v>
      </c>
      <c r="F150" s="720">
        <v>1</v>
      </c>
      <c r="G150" s="720">
        <v>445</v>
      </c>
      <c r="H150" s="720">
        <v>0.99775784753363228</v>
      </c>
      <c r="I150" s="720">
        <v>445</v>
      </c>
      <c r="J150" s="720">
        <v>1</v>
      </c>
      <c r="K150" s="720">
        <v>446</v>
      </c>
      <c r="L150" s="720">
        <v>1</v>
      </c>
      <c r="M150" s="720">
        <v>446</v>
      </c>
      <c r="N150" s="720">
        <v>2</v>
      </c>
      <c r="O150" s="720">
        <v>896</v>
      </c>
      <c r="P150" s="745">
        <v>2.0089686098654709</v>
      </c>
      <c r="Q150" s="721">
        <v>448</v>
      </c>
    </row>
    <row r="151" spans="1:17" ht="14.45" customHeight="1" x14ac:dyDescent="0.2">
      <c r="A151" s="715" t="s">
        <v>518</v>
      </c>
      <c r="B151" s="716" t="s">
        <v>3279</v>
      </c>
      <c r="C151" s="716" t="s">
        <v>3029</v>
      </c>
      <c r="D151" s="716" t="s">
        <v>3316</v>
      </c>
      <c r="E151" s="716" t="s">
        <v>3317</v>
      </c>
      <c r="F151" s="720"/>
      <c r="G151" s="720"/>
      <c r="H151" s="720"/>
      <c r="I151" s="720"/>
      <c r="J151" s="720"/>
      <c r="K151" s="720"/>
      <c r="L151" s="720"/>
      <c r="M151" s="720"/>
      <c r="N151" s="720">
        <v>1</v>
      </c>
      <c r="O151" s="720">
        <v>122</v>
      </c>
      <c r="P151" s="745"/>
      <c r="Q151" s="721">
        <v>122</v>
      </c>
    </row>
    <row r="152" spans="1:17" ht="14.45" customHeight="1" x14ac:dyDescent="0.2">
      <c r="A152" s="715" t="s">
        <v>518</v>
      </c>
      <c r="B152" s="716" t="s">
        <v>3279</v>
      </c>
      <c r="C152" s="716" t="s">
        <v>3029</v>
      </c>
      <c r="D152" s="716" t="s">
        <v>3145</v>
      </c>
      <c r="E152" s="716" t="s">
        <v>3146</v>
      </c>
      <c r="F152" s="720">
        <v>7</v>
      </c>
      <c r="G152" s="720">
        <v>6055</v>
      </c>
      <c r="H152" s="720">
        <v>0.99884526558891451</v>
      </c>
      <c r="I152" s="720">
        <v>865</v>
      </c>
      <c r="J152" s="720">
        <v>7</v>
      </c>
      <c r="K152" s="720">
        <v>6062</v>
      </c>
      <c r="L152" s="720">
        <v>1</v>
      </c>
      <c r="M152" s="720">
        <v>866</v>
      </c>
      <c r="N152" s="720">
        <v>8</v>
      </c>
      <c r="O152" s="720">
        <v>6968</v>
      </c>
      <c r="P152" s="745">
        <v>1.1494556252062025</v>
      </c>
      <c r="Q152" s="721">
        <v>871</v>
      </c>
    </row>
    <row r="153" spans="1:17" ht="14.45" customHeight="1" x14ac:dyDescent="0.2">
      <c r="A153" s="715" t="s">
        <v>518</v>
      </c>
      <c r="B153" s="716" t="s">
        <v>3279</v>
      </c>
      <c r="C153" s="716" t="s">
        <v>3029</v>
      </c>
      <c r="D153" s="716" t="s">
        <v>3318</v>
      </c>
      <c r="E153" s="716" t="s">
        <v>3319</v>
      </c>
      <c r="F153" s="720">
        <v>8</v>
      </c>
      <c r="G153" s="720">
        <v>960</v>
      </c>
      <c r="H153" s="720">
        <v>0.88154269972451793</v>
      </c>
      <c r="I153" s="720">
        <v>120</v>
      </c>
      <c r="J153" s="720">
        <v>9</v>
      </c>
      <c r="K153" s="720">
        <v>1089</v>
      </c>
      <c r="L153" s="720">
        <v>1</v>
      </c>
      <c r="M153" s="720">
        <v>121</v>
      </c>
      <c r="N153" s="720">
        <v>7</v>
      </c>
      <c r="O153" s="720">
        <v>854</v>
      </c>
      <c r="P153" s="745">
        <v>0.78420569329660239</v>
      </c>
      <c r="Q153" s="721">
        <v>122</v>
      </c>
    </row>
    <row r="154" spans="1:17" ht="14.45" customHeight="1" x14ac:dyDescent="0.2">
      <c r="A154" s="715" t="s">
        <v>518</v>
      </c>
      <c r="B154" s="716" t="s">
        <v>3279</v>
      </c>
      <c r="C154" s="716" t="s">
        <v>3029</v>
      </c>
      <c r="D154" s="716" t="s">
        <v>3155</v>
      </c>
      <c r="E154" s="716" t="s">
        <v>3156</v>
      </c>
      <c r="F154" s="720"/>
      <c r="G154" s="720"/>
      <c r="H154" s="720"/>
      <c r="I154" s="720"/>
      <c r="J154" s="720"/>
      <c r="K154" s="720"/>
      <c r="L154" s="720"/>
      <c r="M154" s="720"/>
      <c r="N154" s="720">
        <v>1</v>
      </c>
      <c r="O154" s="720">
        <v>376</v>
      </c>
      <c r="P154" s="745"/>
      <c r="Q154" s="721">
        <v>376</v>
      </c>
    </row>
    <row r="155" spans="1:17" ht="14.45" customHeight="1" x14ac:dyDescent="0.2">
      <c r="A155" s="715" t="s">
        <v>518</v>
      </c>
      <c r="B155" s="716" t="s">
        <v>3279</v>
      </c>
      <c r="C155" s="716" t="s">
        <v>3029</v>
      </c>
      <c r="D155" s="716" t="s">
        <v>3320</v>
      </c>
      <c r="E155" s="716" t="s">
        <v>3321</v>
      </c>
      <c r="F155" s="720">
        <v>1</v>
      </c>
      <c r="G155" s="720">
        <v>1862</v>
      </c>
      <c r="H155" s="720"/>
      <c r="I155" s="720">
        <v>1862</v>
      </c>
      <c r="J155" s="720"/>
      <c r="K155" s="720"/>
      <c r="L155" s="720"/>
      <c r="M155" s="720"/>
      <c r="N155" s="720"/>
      <c r="O155" s="720"/>
      <c r="P155" s="745"/>
      <c r="Q155" s="721"/>
    </row>
    <row r="156" spans="1:17" ht="14.45" customHeight="1" x14ac:dyDescent="0.2">
      <c r="A156" s="715" t="s">
        <v>518</v>
      </c>
      <c r="B156" s="716" t="s">
        <v>3279</v>
      </c>
      <c r="C156" s="716" t="s">
        <v>3029</v>
      </c>
      <c r="D156" s="716" t="s">
        <v>3322</v>
      </c>
      <c r="E156" s="716" t="s">
        <v>3323</v>
      </c>
      <c r="F156" s="720"/>
      <c r="G156" s="720"/>
      <c r="H156" s="720"/>
      <c r="I156" s="720"/>
      <c r="J156" s="720"/>
      <c r="K156" s="720"/>
      <c r="L156" s="720"/>
      <c r="M156" s="720"/>
      <c r="N156" s="720">
        <v>1</v>
      </c>
      <c r="O156" s="720">
        <v>355</v>
      </c>
      <c r="P156" s="745"/>
      <c r="Q156" s="721">
        <v>355</v>
      </c>
    </row>
    <row r="157" spans="1:17" ht="14.45" customHeight="1" x14ac:dyDescent="0.2">
      <c r="A157" s="715" t="s">
        <v>518</v>
      </c>
      <c r="B157" s="716" t="s">
        <v>3279</v>
      </c>
      <c r="C157" s="716" t="s">
        <v>3029</v>
      </c>
      <c r="D157" s="716" t="s">
        <v>3324</v>
      </c>
      <c r="E157" s="716" t="s">
        <v>3325</v>
      </c>
      <c r="F157" s="720"/>
      <c r="G157" s="720"/>
      <c r="H157" s="720"/>
      <c r="I157" s="720"/>
      <c r="J157" s="720">
        <v>2</v>
      </c>
      <c r="K157" s="720">
        <v>5310</v>
      </c>
      <c r="L157" s="720">
        <v>1</v>
      </c>
      <c r="M157" s="720">
        <v>2655</v>
      </c>
      <c r="N157" s="720"/>
      <c r="O157" s="720"/>
      <c r="P157" s="745"/>
      <c r="Q157" s="721"/>
    </row>
    <row r="158" spans="1:17" ht="14.45" customHeight="1" x14ac:dyDescent="0.2">
      <c r="A158" s="715" t="s">
        <v>518</v>
      </c>
      <c r="B158" s="716" t="s">
        <v>3279</v>
      </c>
      <c r="C158" s="716" t="s">
        <v>3029</v>
      </c>
      <c r="D158" s="716" t="s">
        <v>3326</v>
      </c>
      <c r="E158" s="716" t="s">
        <v>3327</v>
      </c>
      <c r="F158" s="720">
        <v>4</v>
      </c>
      <c r="G158" s="720">
        <v>22844</v>
      </c>
      <c r="H158" s="720">
        <v>1.3298404936546746</v>
      </c>
      <c r="I158" s="720">
        <v>5711</v>
      </c>
      <c r="J158" s="720">
        <v>3</v>
      </c>
      <c r="K158" s="720">
        <v>17178</v>
      </c>
      <c r="L158" s="720">
        <v>1</v>
      </c>
      <c r="M158" s="720">
        <v>5726</v>
      </c>
      <c r="N158" s="720">
        <v>2</v>
      </c>
      <c r="O158" s="720">
        <v>11548</v>
      </c>
      <c r="P158" s="745">
        <v>0.67225521015252065</v>
      </c>
      <c r="Q158" s="721">
        <v>5774</v>
      </c>
    </row>
    <row r="159" spans="1:17" ht="14.45" customHeight="1" x14ac:dyDescent="0.2">
      <c r="A159" s="715" t="s">
        <v>518</v>
      </c>
      <c r="B159" s="716" t="s">
        <v>3279</v>
      </c>
      <c r="C159" s="716" t="s">
        <v>3029</v>
      </c>
      <c r="D159" s="716" t="s">
        <v>3328</v>
      </c>
      <c r="E159" s="716" t="s">
        <v>3329</v>
      </c>
      <c r="F159" s="720"/>
      <c r="G159" s="720"/>
      <c r="H159" s="720"/>
      <c r="I159" s="720"/>
      <c r="J159" s="720">
        <v>1</v>
      </c>
      <c r="K159" s="720">
        <v>2555</v>
      </c>
      <c r="L159" s="720">
        <v>1</v>
      </c>
      <c r="M159" s="720">
        <v>2555</v>
      </c>
      <c r="N159" s="720"/>
      <c r="O159" s="720"/>
      <c r="P159" s="745"/>
      <c r="Q159" s="721"/>
    </row>
    <row r="160" spans="1:17" ht="14.45" customHeight="1" x14ac:dyDescent="0.2">
      <c r="A160" s="715" t="s">
        <v>518</v>
      </c>
      <c r="B160" s="716" t="s">
        <v>3279</v>
      </c>
      <c r="C160" s="716" t="s">
        <v>3029</v>
      </c>
      <c r="D160" s="716" t="s">
        <v>3330</v>
      </c>
      <c r="E160" s="716" t="s">
        <v>3331</v>
      </c>
      <c r="F160" s="720"/>
      <c r="G160" s="720"/>
      <c r="H160" s="720"/>
      <c r="I160" s="720"/>
      <c r="J160" s="720">
        <v>2</v>
      </c>
      <c r="K160" s="720">
        <v>5108</v>
      </c>
      <c r="L160" s="720">
        <v>1</v>
      </c>
      <c r="M160" s="720">
        <v>2554</v>
      </c>
      <c r="N160" s="720"/>
      <c r="O160" s="720"/>
      <c r="P160" s="745"/>
      <c r="Q160" s="721"/>
    </row>
    <row r="161" spans="1:17" ht="14.45" customHeight="1" x14ac:dyDescent="0.2">
      <c r="A161" s="715" t="s">
        <v>518</v>
      </c>
      <c r="B161" s="716" t="s">
        <v>3279</v>
      </c>
      <c r="C161" s="716" t="s">
        <v>3029</v>
      </c>
      <c r="D161" s="716" t="s">
        <v>3177</v>
      </c>
      <c r="E161" s="716" t="s">
        <v>3178</v>
      </c>
      <c r="F161" s="720"/>
      <c r="G161" s="720"/>
      <c r="H161" s="720"/>
      <c r="I161" s="720"/>
      <c r="J161" s="720"/>
      <c r="K161" s="720"/>
      <c r="L161" s="720"/>
      <c r="M161" s="720"/>
      <c r="N161" s="720">
        <v>1</v>
      </c>
      <c r="O161" s="720">
        <v>4607</v>
      </c>
      <c r="P161" s="745"/>
      <c r="Q161" s="721">
        <v>4607</v>
      </c>
    </row>
    <row r="162" spans="1:17" ht="14.45" customHeight="1" x14ac:dyDescent="0.2">
      <c r="A162" s="715" t="s">
        <v>518</v>
      </c>
      <c r="B162" s="716" t="s">
        <v>3279</v>
      </c>
      <c r="C162" s="716" t="s">
        <v>3029</v>
      </c>
      <c r="D162" s="716" t="s">
        <v>3332</v>
      </c>
      <c r="E162" s="716" t="s">
        <v>3333</v>
      </c>
      <c r="F162" s="720"/>
      <c r="G162" s="720"/>
      <c r="H162" s="720"/>
      <c r="I162" s="720"/>
      <c r="J162" s="720"/>
      <c r="K162" s="720"/>
      <c r="L162" s="720"/>
      <c r="M162" s="720"/>
      <c r="N162" s="720">
        <v>1</v>
      </c>
      <c r="O162" s="720">
        <v>3638</v>
      </c>
      <c r="P162" s="745"/>
      <c r="Q162" s="721">
        <v>3638</v>
      </c>
    </row>
    <row r="163" spans="1:17" ht="14.45" customHeight="1" x14ac:dyDescent="0.2">
      <c r="A163" s="715" t="s">
        <v>518</v>
      </c>
      <c r="B163" s="716" t="s">
        <v>3279</v>
      </c>
      <c r="C163" s="716" t="s">
        <v>3029</v>
      </c>
      <c r="D163" s="716" t="s">
        <v>3334</v>
      </c>
      <c r="E163" s="716" t="s">
        <v>3335</v>
      </c>
      <c r="F163" s="720"/>
      <c r="G163" s="720"/>
      <c r="H163" s="720"/>
      <c r="I163" s="720"/>
      <c r="J163" s="720"/>
      <c r="K163" s="720"/>
      <c r="L163" s="720"/>
      <c r="M163" s="720"/>
      <c r="N163" s="720">
        <v>1</v>
      </c>
      <c r="O163" s="720">
        <v>3458</v>
      </c>
      <c r="P163" s="745"/>
      <c r="Q163" s="721">
        <v>3458</v>
      </c>
    </row>
    <row r="164" spans="1:17" ht="14.45" customHeight="1" x14ac:dyDescent="0.2">
      <c r="A164" s="715" t="s">
        <v>518</v>
      </c>
      <c r="B164" s="716" t="s">
        <v>3279</v>
      </c>
      <c r="C164" s="716" t="s">
        <v>3029</v>
      </c>
      <c r="D164" s="716" t="s">
        <v>3336</v>
      </c>
      <c r="E164" s="716" t="s">
        <v>3337</v>
      </c>
      <c r="F164" s="720"/>
      <c r="G164" s="720"/>
      <c r="H164" s="720"/>
      <c r="I164" s="720"/>
      <c r="J164" s="720">
        <v>1</v>
      </c>
      <c r="K164" s="720">
        <v>3948</v>
      </c>
      <c r="L164" s="720">
        <v>1</v>
      </c>
      <c r="M164" s="720">
        <v>3948</v>
      </c>
      <c r="N164" s="720"/>
      <c r="O164" s="720"/>
      <c r="P164" s="745"/>
      <c r="Q164" s="721"/>
    </row>
    <row r="165" spans="1:17" ht="14.45" customHeight="1" x14ac:dyDescent="0.2">
      <c r="A165" s="715" t="s">
        <v>518</v>
      </c>
      <c r="B165" s="716" t="s">
        <v>3279</v>
      </c>
      <c r="C165" s="716" t="s">
        <v>3029</v>
      </c>
      <c r="D165" s="716" t="s">
        <v>3338</v>
      </c>
      <c r="E165" s="716" t="s">
        <v>3339</v>
      </c>
      <c r="F165" s="720">
        <v>1</v>
      </c>
      <c r="G165" s="720">
        <v>120</v>
      </c>
      <c r="H165" s="720"/>
      <c r="I165" s="720">
        <v>120</v>
      </c>
      <c r="J165" s="720"/>
      <c r="K165" s="720"/>
      <c r="L165" s="720"/>
      <c r="M165" s="720"/>
      <c r="N165" s="720"/>
      <c r="O165" s="720"/>
      <c r="P165" s="745"/>
      <c r="Q165" s="721"/>
    </row>
    <row r="166" spans="1:17" ht="14.45" customHeight="1" x14ac:dyDescent="0.2">
      <c r="A166" s="715" t="s">
        <v>518</v>
      </c>
      <c r="B166" s="716" t="s">
        <v>3279</v>
      </c>
      <c r="C166" s="716" t="s">
        <v>3029</v>
      </c>
      <c r="D166" s="716" t="s">
        <v>3340</v>
      </c>
      <c r="E166" s="716" t="s">
        <v>3341</v>
      </c>
      <c r="F166" s="720">
        <v>1</v>
      </c>
      <c r="G166" s="720">
        <v>6073</v>
      </c>
      <c r="H166" s="720">
        <v>0.4992601118053272</v>
      </c>
      <c r="I166" s="720">
        <v>6073</v>
      </c>
      <c r="J166" s="720">
        <v>2</v>
      </c>
      <c r="K166" s="720">
        <v>12164</v>
      </c>
      <c r="L166" s="720">
        <v>1</v>
      </c>
      <c r="M166" s="720">
        <v>6082</v>
      </c>
      <c r="N166" s="720">
        <v>1</v>
      </c>
      <c r="O166" s="720">
        <v>6115</v>
      </c>
      <c r="P166" s="745">
        <v>0.50271292338046691</v>
      </c>
      <c r="Q166" s="721">
        <v>6115</v>
      </c>
    </row>
    <row r="167" spans="1:17" ht="14.45" customHeight="1" x14ac:dyDescent="0.2">
      <c r="A167" s="715" t="s">
        <v>518</v>
      </c>
      <c r="B167" s="716" t="s">
        <v>3279</v>
      </c>
      <c r="C167" s="716" t="s">
        <v>3029</v>
      </c>
      <c r="D167" s="716" t="s">
        <v>3342</v>
      </c>
      <c r="E167" s="716" t="s">
        <v>3343</v>
      </c>
      <c r="F167" s="720">
        <v>1</v>
      </c>
      <c r="G167" s="720">
        <v>1633</v>
      </c>
      <c r="H167" s="720"/>
      <c r="I167" s="720">
        <v>1633</v>
      </c>
      <c r="J167" s="720"/>
      <c r="K167" s="720"/>
      <c r="L167" s="720"/>
      <c r="M167" s="720"/>
      <c r="N167" s="720"/>
      <c r="O167" s="720"/>
      <c r="P167" s="745"/>
      <c r="Q167" s="721"/>
    </row>
    <row r="168" spans="1:17" ht="14.45" customHeight="1" x14ac:dyDescent="0.2">
      <c r="A168" s="715" t="s">
        <v>518</v>
      </c>
      <c r="B168" s="716" t="s">
        <v>3279</v>
      </c>
      <c r="C168" s="716" t="s">
        <v>3029</v>
      </c>
      <c r="D168" s="716" t="s">
        <v>3344</v>
      </c>
      <c r="E168" s="716" t="s">
        <v>3345</v>
      </c>
      <c r="F168" s="720">
        <v>3</v>
      </c>
      <c r="G168" s="720">
        <v>24936</v>
      </c>
      <c r="H168" s="720">
        <v>2.993876815944291</v>
      </c>
      <c r="I168" s="720">
        <v>8312</v>
      </c>
      <c r="J168" s="720">
        <v>1</v>
      </c>
      <c r="K168" s="720">
        <v>8329</v>
      </c>
      <c r="L168" s="720">
        <v>1</v>
      </c>
      <c r="M168" s="720">
        <v>8329</v>
      </c>
      <c r="N168" s="720">
        <v>3</v>
      </c>
      <c r="O168" s="720">
        <v>25155</v>
      </c>
      <c r="P168" s="745">
        <v>3.0201704886541001</v>
      </c>
      <c r="Q168" s="721">
        <v>8385</v>
      </c>
    </row>
    <row r="169" spans="1:17" ht="14.45" customHeight="1" x14ac:dyDescent="0.2">
      <c r="A169" s="715" t="s">
        <v>518</v>
      </c>
      <c r="B169" s="716" t="s">
        <v>3279</v>
      </c>
      <c r="C169" s="716" t="s">
        <v>3029</v>
      </c>
      <c r="D169" s="716" t="s">
        <v>3346</v>
      </c>
      <c r="E169" s="716" t="s">
        <v>3347</v>
      </c>
      <c r="F169" s="720"/>
      <c r="G169" s="720"/>
      <c r="H169" s="720"/>
      <c r="I169" s="720"/>
      <c r="J169" s="720">
        <v>1</v>
      </c>
      <c r="K169" s="720">
        <v>894</v>
      </c>
      <c r="L169" s="720">
        <v>1</v>
      </c>
      <c r="M169" s="720">
        <v>894</v>
      </c>
      <c r="N169" s="720"/>
      <c r="O169" s="720"/>
      <c r="P169" s="745"/>
      <c r="Q169" s="721"/>
    </row>
    <row r="170" spans="1:17" ht="14.45" customHeight="1" x14ac:dyDescent="0.2">
      <c r="A170" s="715" t="s">
        <v>518</v>
      </c>
      <c r="B170" s="716" t="s">
        <v>3279</v>
      </c>
      <c r="C170" s="716" t="s">
        <v>3029</v>
      </c>
      <c r="D170" s="716" t="s">
        <v>3348</v>
      </c>
      <c r="E170" s="716" t="s">
        <v>3349</v>
      </c>
      <c r="F170" s="720"/>
      <c r="G170" s="720"/>
      <c r="H170" s="720"/>
      <c r="I170" s="720"/>
      <c r="J170" s="720"/>
      <c r="K170" s="720"/>
      <c r="L170" s="720"/>
      <c r="M170" s="720"/>
      <c r="N170" s="720">
        <v>1</v>
      </c>
      <c r="O170" s="720">
        <v>1420</v>
      </c>
      <c r="P170" s="745"/>
      <c r="Q170" s="721">
        <v>1420</v>
      </c>
    </row>
    <row r="171" spans="1:17" ht="14.45" customHeight="1" x14ac:dyDescent="0.2">
      <c r="A171" s="715" t="s">
        <v>518</v>
      </c>
      <c r="B171" s="716" t="s">
        <v>3279</v>
      </c>
      <c r="C171" s="716" t="s">
        <v>3029</v>
      </c>
      <c r="D171" s="716" t="s">
        <v>3350</v>
      </c>
      <c r="E171" s="716" t="s">
        <v>3351</v>
      </c>
      <c r="F171" s="720"/>
      <c r="G171" s="720"/>
      <c r="H171" s="720"/>
      <c r="I171" s="720"/>
      <c r="J171" s="720">
        <v>1</v>
      </c>
      <c r="K171" s="720">
        <v>332</v>
      </c>
      <c r="L171" s="720">
        <v>1</v>
      </c>
      <c r="M171" s="720">
        <v>332</v>
      </c>
      <c r="N171" s="720"/>
      <c r="O171" s="720"/>
      <c r="P171" s="745"/>
      <c r="Q171" s="721"/>
    </row>
    <row r="172" spans="1:17" ht="14.45" customHeight="1" x14ac:dyDescent="0.2">
      <c r="A172" s="715" t="s">
        <v>518</v>
      </c>
      <c r="B172" s="716" t="s">
        <v>3279</v>
      </c>
      <c r="C172" s="716" t="s">
        <v>3029</v>
      </c>
      <c r="D172" s="716" t="s">
        <v>3352</v>
      </c>
      <c r="E172" s="716" t="s">
        <v>3353</v>
      </c>
      <c r="F172" s="720">
        <v>1</v>
      </c>
      <c r="G172" s="720">
        <v>1381</v>
      </c>
      <c r="H172" s="720"/>
      <c r="I172" s="720">
        <v>1381</v>
      </c>
      <c r="J172" s="720"/>
      <c r="K172" s="720"/>
      <c r="L172" s="720"/>
      <c r="M172" s="720"/>
      <c r="N172" s="720"/>
      <c r="O172" s="720"/>
      <c r="P172" s="745"/>
      <c r="Q172" s="721"/>
    </row>
    <row r="173" spans="1:17" ht="14.45" customHeight="1" x14ac:dyDescent="0.2">
      <c r="A173" s="715" t="s">
        <v>518</v>
      </c>
      <c r="B173" s="716" t="s">
        <v>3279</v>
      </c>
      <c r="C173" s="716" t="s">
        <v>3029</v>
      </c>
      <c r="D173" s="716" t="s">
        <v>3354</v>
      </c>
      <c r="E173" s="716" t="s">
        <v>3355</v>
      </c>
      <c r="F173" s="720"/>
      <c r="G173" s="720"/>
      <c r="H173" s="720"/>
      <c r="I173" s="720"/>
      <c r="J173" s="720"/>
      <c r="K173" s="720"/>
      <c r="L173" s="720"/>
      <c r="M173" s="720"/>
      <c r="N173" s="720">
        <v>1</v>
      </c>
      <c r="O173" s="720">
        <v>1127</v>
      </c>
      <c r="P173" s="745"/>
      <c r="Q173" s="721">
        <v>1127</v>
      </c>
    </row>
    <row r="174" spans="1:17" ht="14.45" customHeight="1" x14ac:dyDescent="0.2">
      <c r="A174" s="715" t="s">
        <v>518</v>
      </c>
      <c r="B174" s="716" t="s">
        <v>3279</v>
      </c>
      <c r="C174" s="716" t="s">
        <v>3029</v>
      </c>
      <c r="D174" s="716" t="s">
        <v>3356</v>
      </c>
      <c r="E174" s="716" t="s">
        <v>3357</v>
      </c>
      <c r="F174" s="720"/>
      <c r="G174" s="720"/>
      <c r="H174" s="720"/>
      <c r="I174" s="720"/>
      <c r="J174" s="720"/>
      <c r="K174" s="720"/>
      <c r="L174" s="720"/>
      <c r="M174" s="720"/>
      <c r="N174" s="720">
        <v>2</v>
      </c>
      <c r="O174" s="720">
        <v>3168</v>
      </c>
      <c r="P174" s="745"/>
      <c r="Q174" s="721">
        <v>1584</v>
      </c>
    </row>
    <row r="175" spans="1:17" ht="14.45" customHeight="1" x14ac:dyDescent="0.2">
      <c r="A175" s="715" t="s">
        <v>518</v>
      </c>
      <c r="B175" s="716" t="s">
        <v>3279</v>
      </c>
      <c r="C175" s="716" t="s">
        <v>3029</v>
      </c>
      <c r="D175" s="716" t="s">
        <v>3358</v>
      </c>
      <c r="E175" s="716" t="s">
        <v>3359</v>
      </c>
      <c r="F175" s="720"/>
      <c r="G175" s="720"/>
      <c r="H175" s="720"/>
      <c r="I175" s="720"/>
      <c r="J175" s="720">
        <v>1</v>
      </c>
      <c r="K175" s="720">
        <v>5221</v>
      </c>
      <c r="L175" s="720">
        <v>1</v>
      </c>
      <c r="M175" s="720">
        <v>5221</v>
      </c>
      <c r="N175" s="720"/>
      <c r="O175" s="720"/>
      <c r="P175" s="745"/>
      <c r="Q175" s="721"/>
    </row>
    <row r="176" spans="1:17" ht="14.45" customHeight="1" x14ac:dyDescent="0.2">
      <c r="A176" s="715" t="s">
        <v>518</v>
      </c>
      <c r="B176" s="716" t="s">
        <v>3279</v>
      </c>
      <c r="C176" s="716" t="s">
        <v>3029</v>
      </c>
      <c r="D176" s="716" t="s">
        <v>3360</v>
      </c>
      <c r="E176" s="716" t="s">
        <v>3299</v>
      </c>
      <c r="F176" s="720">
        <v>1</v>
      </c>
      <c r="G176" s="720">
        <v>593</v>
      </c>
      <c r="H176" s="720"/>
      <c r="I176" s="720">
        <v>593</v>
      </c>
      <c r="J176" s="720"/>
      <c r="K176" s="720"/>
      <c r="L176" s="720"/>
      <c r="M176" s="720"/>
      <c r="N176" s="720"/>
      <c r="O176" s="720"/>
      <c r="P176" s="745"/>
      <c r="Q176" s="721"/>
    </row>
    <row r="177" spans="1:17" ht="14.45" customHeight="1" x14ac:dyDescent="0.2">
      <c r="A177" s="715" t="s">
        <v>518</v>
      </c>
      <c r="B177" s="716" t="s">
        <v>3279</v>
      </c>
      <c r="C177" s="716" t="s">
        <v>3029</v>
      </c>
      <c r="D177" s="716" t="s">
        <v>3361</v>
      </c>
      <c r="E177" s="716" t="s">
        <v>3362</v>
      </c>
      <c r="F177" s="720"/>
      <c r="G177" s="720"/>
      <c r="H177" s="720"/>
      <c r="I177" s="720"/>
      <c r="J177" s="720"/>
      <c r="K177" s="720"/>
      <c r="L177" s="720"/>
      <c r="M177" s="720"/>
      <c r="N177" s="720">
        <v>1</v>
      </c>
      <c r="O177" s="720">
        <v>2401</v>
      </c>
      <c r="P177" s="745"/>
      <c r="Q177" s="721">
        <v>2401</v>
      </c>
    </row>
    <row r="178" spans="1:17" ht="14.45" customHeight="1" x14ac:dyDescent="0.2">
      <c r="A178" s="715" t="s">
        <v>518</v>
      </c>
      <c r="B178" s="716" t="s">
        <v>3279</v>
      </c>
      <c r="C178" s="716" t="s">
        <v>3029</v>
      </c>
      <c r="D178" s="716" t="s">
        <v>3229</v>
      </c>
      <c r="E178" s="716" t="s">
        <v>3230</v>
      </c>
      <c r="F178" s="720"/>
      <c r="G178" s="720"/>
      <c r="H178" s="720"/>
      <c r="I178" s="720"/>
      <c r="J178" s="720">
        <v>1</v>
      </c>
      <c r="K178" s="720">
        <v>1970</v>
      </c>
      <c r="L178" s="720">
        <v>1</v>
      </c>
      <c r="M178" s="720">
        <v>1970</v>
      </c>
      <c r="N178" s="720"/>
      <c r="O178" s="720"/>
      <c r="P178" s="745"/>
      <c r="Q178" s="721"/>
    </row>
    <row r="179" spans="1:17" ht="14.45" customHeight="1" x14ac:dyDescent="0.2">
      <c r="A179" s="715" t="s">
        <v>518</v>
      </c>
      <c r="B179" s="716" t="s">
        <v>3279</v>
      </c>
      <c r="C179" s="716" t="s">
        <v>3029</v>
      </c>
      <c r="D179" s="716" t="s">
        <v>3363</v>
      </c>
      <c r="E179" s="716" t="s">
        <v>3364</v>
      </c>
      <c r="F179" s="720"/>
      <c r="G179" s="720"/>
      <c r="H179" s="720"/>
      <c r="I179" s="720"/>
      <c r="J179" s="720"/>
      <c r="K179" s="720"/>
      <c r="L179" s="720"/>
      <c r="M179" s="720"/>
      <c r="N179" s="720">
        <v>3</v>
      </c>
      <c r="O179" s="720">
        <v>17883</v>
      </c>
      <c r="P179" s="745"/>
      <c r="Q179" s="721">
        <v>5961</v>
      </c>
    </row>
    <row r="180" spans="1:17" ht="14.45" customHeight="1" x14ac:dyDescent="0.2">
      <c r="A180" s="715" t="s">
        <v>518</v>
      </c>
      <c r="B180" s="716" t="s">
        <v>3279</v>
      </c>
      <c r="C180" s="716" t="s">
        <v>3029</v>
      </c>
      <c r="D180" s="716" t="s">
        <v>3365</v>
      </c>
      <c r="E180" s="716" t="s">
        <v>3366</v>
      </c>
      <c r="F180" s="720">
        <v>1</v>
      </c>
      <c r="G180" s="720">
        <v>2720</v>
      </c>
      <c r="H180" s="720"/>
      <c r="I180" s="720">
        <v>2720</v>
      </c>
      <c r="J180" s="720"/>
      <c r="K180" s="720"/>
      <c r="L180" s="720"/>
      <c r="M180" s="720"/>
      <c r="N180" s="720"/>
      <c r="O180" s="720"/>
      <c r="P180" s="745"/>
      <c r="Q180" s="721"/>
    </row>
    <row r="181" spans="1:17" ht="14.45" customHeight="1" x14ac:dyDescent="0.2">
      <c r="A181" s="715" t="s">
        <v>518</v>
      </c>
      <c r="B181" s="716" t="s">
        <v>3367</v>
      </c>
      <c r="C181" s="716" t="s">
        <v>3029</v>
      </c>
      <c r="D181" s="716" t="s">
        <v>3368</v>
      </c>
      <c r="E181" s="716" t="s">
        <v>3369</v>
      </c>
      <c r="F181" s="720">
        <v>1</v>
      </c>
      <c r="G181" s="720">
        <v>0</v>
      </c>
      <c r="H181" s="720"/>
      <c r="I181" s="720">
        <v>0</v>
      </c>
      <c r="J181" s="720"/>
      <c r="K181" s="720"/>
      <c r="L181" s="720"/>
      <c r="M181" s="720"/>
      <c r="N181" s="720"/>
      <c r="O181" s="720"/>
      <c r="P181" s="745"/>
      <c r="Q181" s="721"/>
    </row>
    <row r="182" spans="1:17" ht="14.45" customHeight="1" x14ac:dyDescent="0.2">
      <c r="A182" s="715" t="s">
        <v>518</v>
      </c>
      <c r="B182" s="716" t="s">
        <v>3367</v>
      </c>
      <c r="C182" s="716" t="s">
        <v>3029</v>
      </c>
      <c r="D182" s="716" t="s">
        <v>3127</v>
      </c>
      <c r="E182" s="716" t="s">
        <v>3128</v>
      </c>
      <c r="F182" s="720">
        <v>1</v>
      </c>
      <c r="G182" s="720">
        <v>0</v>
      </c>
      <c r="H182" s="720"/>
      <c r="I182" s="720">
        <v>0</v>
      </c>
      <c r="J182" s="720"/>
      <c r="K182" s="720"/>
      <c r="L182" s="720"/>
      <c r="M182" s="720"/>
      <c r="N182" s="720"/>
      <c r="O182" s="720"/>
      <c r="P182" s="745"/>
      <c r="Q182" s="721"/>
    </row>
    <row r="183" spans="1:17" ht="14.45" customHeight="1" x14ac:dyDescent="0.2">
      <c r="A183" s="715" t="s">
        <v>518</v>
      </c>
      <c r="B183" s="716" t="s">
        <v>3367</v>
      </c>
      <c r="C183" s="716" t="s">
        <v>3029</v>
      </c>
      <c r="D183" s="716" t="s">
        <v>3187</v>
      </c>
      <c r="E183" s="716" t="s">
        <v>3188</v>
      </c>
      <c r="F183" s="720">
        <v>1</v>
      </c>
      <c r="G183" s="720">
        <v>0</v>
      </c>
      <c r="H183" s="720"/>
      <c r="I183" s="720">
        <v>0</v>
      </c>
      <c r="J183" s="720"/>
      <c r="K183" s="720"/>
      <c r="L183" s="720"/>
      <c r="M183" s="720"/>
      <c r="N183" s="720"/>
      <c r="O183" s="720"/>
      <c r="P183" s="745"/>
      <c r="Q183" s="721"/>
    </row>
    <row r="184" spans="1:17" ht="14.45" customHeight="1" x14ac:dyDescent="0.2">
      <c r="A184" s="715" t="s">
        <v>518</v>
      </c>
      <c r="B184" s="716" t="s">
        <v>3367</v>
      </c>
      <c r="C184" s="716" t="s">
        <v>3029</v>
      </c>
      <c r="D184" s="716" t="s">
        <v>3370</v>
      </c>
      <c r="E184" s="716" t="s">
        <v>3371</v>
      </c>
      <c r="F184" s="720">
        <v>1</v>
      </c>
      <c r="G184" s="720">
        <v>0</v>
      </c>
      <c r="H184" s="720"/>
      <c r="I184" s="720">
        <v>0</v>
      </c>
      <c r="J184" s="720"/>
      <c r="K184" s="720"/>
      <c r="L184" s="720"/>
      <c r="M184" s="720"/>
      <c r="N184" s="720"/>
      <c r="O184" s="720"/>
      <c r="P184" s="745"/>
      <c r="Q184" s="721"/>
    </row>
    <row r="185" spans="1:17" ht="14.45" customHeight="1" x14ac:dyDescent="0.2">
      <c r="A185" s="715" t="s">
        <v>518</v>
      </c>
      <c r="B185" s="716" t="s">
        <v>3367</v>
      </c>
      <c r="C185" s="716" t="s">
        <v>3029</v>
      </c>
      <c r="D185" s="716" t="s">
        <v>3372</v>
      </c>
      <c r="E185" s="716" t="s">
        <v>3373</v>
      </c>
      <c r="F185" s="720">
        <v>1</v>
      </c>
      <c r="G185" s="720">
        <v>0</v>
      </c>
      <c r="H185" s="720"/>
      <c r="I185" s="720">
        <v>0</v>
      </c>
      <c r="J185" s="720"/>
      <c r="K185" s="720"/>
      <c r="L185" s="720"/>
      <c r="M185" s="720"/>
      <c r="N185" s="720"/>
      <c r="O185" s="720"/>
      <c r="P185" s="745"/>
      <c r="Q185" s="721"/>
    </row>
    <row r="186" spans="1:17" ht="14.45" customHeight="1" x14ac:dyDescent="0.2">
      <c r="A186" s="715" t="s">
        <v>518</v>
      </c>
      <c r="B186" s="716" t="s">
        <v>3367</v>
      </c>
      <c r="C186" s="716" t="s">
        <v>3029</v>
      </c>
      <c r="D186" s="716" t="s">
        <v>3374</v>
      </c>
      <c r="E186" s="716" t="s">
        <v>3375</v>
      </c>
      <c r="F186" s="720">
        <v>1</v>
      </c>
      <c r="G186" s="720">
        <v>7605</v>
      </c>
      <c r="H186" s="720"/>
      <c r="I186" s="720">
        <v>7605</v>
      </c>
      <c r="J186" s="720"/>
      <c r="K186" s="720"/>
      <c r="L186" s="720"/>
      <c r="M186" s="720"/>
      <c r="N186" s="720"/>
      <c r="O186" s="720"/>
      <c r="P186" s="745"/>
      <c r="Q186" s="721"/>
    </row>
    <row r="187" spans="1:17" ht="14.45" customHeight="1" x14ac:dyDescent="0.2">
      <c r="A187" s="715" t="s">
        <v>518</v>
      </c>
      <c r="B187" s="716" t="s">
        <v>3376</v>
      </c>
      <c r="C187" s="716" t="s">
        <v>3029</v>
      </c>
      <c r="D187" s="716" t="s">
        <v>3377</v>
      </c>
      <c r="E187" s="716" t="s">
        <v>3378</v>
      </c>
      <c r="F187" s="720">
        <v>2</v>
      </c>
      <c r="G187" s="720">
        <v>11410</v>
      </c>
      <c r="H187" s="720">
        <v>1.9947552447552448</v>
      </c>
      <c r="I187" s="720">
        <v>5705</v>
      </c>
      <c r="J187" s="720">
        <v>1</v>
      </c>
      <c r="K187" s="720">
        <v>5720</v>
      </c>
      <c r="L187" s="720">
        <v>1</v>
      </c>
      <c r="M187" s="720">
        <v>5720</v>
      </c>
      <c r="N187" s="720"/>
      <c r="O187" s="720"/>
      <c r="P187" s="745"/>
      <c r="Q187" s="721"/>
    </row>
    <row r="188" spans="1:17" ht="14.45" customHeight="1" x14ac:dyDescent="0.2">
      <c r="A188" s="715" t="s">
        <v>518</v>
      </c>
      <c r="B188" s="716" t="s">
        <v>3376</v>
      </c>
      <c r="C188" s="716" t="s">
        <v>3029</v>
      </c>
      <c r="D188" s="716" t="s">
        <v>3379</v>
      </c>
      <c r="E188" s="716" t="s">
        <v>3380</v>
      </c>
      <c r="F188" s="720">
        <v>1</v>
      </c>
      <c r="G188" s="720">
        <v>2348</v>
      </c>
      <c r="H188" s="720"/>
      <c r="I188" s="720">
        <v>2348</v>
      </c>
      <c r="J188" s="720"/>
      <c r="K188" s="720"/>
      <c r="L188" s="720"/>
      <c r="M188" s="720"/>
      <c r="N188" s="720"/>
      <c r="O188" s="720"/>
      <c r="P188" s="745"/>
      <c r="Q188" s="721"/>
    </row>
    <row r="189" spans="1:17" ht="14.45" customHeight="1" x14ac:dyDescent="0.2">
      <c r="A189" s="715" t="s">
        <v>518</v>
      </c>
      <c r="B189" s="716" t="s">
        <v>3376</v>
      </c>
      <c r="C189" s="716" t="s">
        <v>3029</v>
      </c>
      <c r="D189" s="716" t="s">
        <v>3381</v>
      </c>
      <c r="E189" s="716" t="s">
        <v>3382</v>
      </c>
      <c r="F189" s="720">
        <v>16</v>
      </c>
      <c r="G189" s="720">
        <v>2784</v>
      </c>
      <c r="H189" s="720">
        <v>1.5908571428571427</v>
      </c>
      <c r="I189" s="720">
        <v>174</v>
      </c>
      <c r="J189" s="720">
        <v>10</v>
      </c>
      <c r="K189" s="720">
        <v>1750</v>
      </c>
      <c r="L189" s="720">
        <v>1</v>
      </c>
      <c r="M189" s="720">
        <v>175</v>
      </c>
      <c r="N189" s="720">
        <v>6</v>
      </c>
      <c r="O189" s="720">
        <v>1056</v>
      </c>
      <c r="P189" s="745">
        <v>0.60342857142857143</v>
      </c>
      <c r="Q189" s="721">
        <v>176</v>
      </c>
    </row>
    <row r="190" spans="1:17" ht="14.45" customHeight="1" x14ac:dyDescent="0.2">
      <c r="A190" s="715" t="s">
        <v>518</v>
      </c>
      <c r="B190" s="716" t="s">
        <v>3376</v>
      </c>
      <c r="C190" s="716" t="s">
        <v>3029</v>
      </c>
      <c r="D190" s="716" t="s">
        <v>3383</v>
      </c>
      <c r="E190" s="716" t="s">
        <v>3384</v>
      </c>
      <c r="F190" s="720">
        <v>2</v>
      </c>
      <c r="G190" s="720">
        <v>11212</v>
      </c>
      <c r="H190" s="720">
        <v>1.9946628713752002</v>
      </c>
      <c r="I190" s="720">
        <v>5606</v>
      </c>
      <c r="J190" s="720">
        <v>1</v>
      </c>
      <c r="K190" s="720">
        <v>5621</v>
      </c>
      <c r="L190" s="720">
        <v>1</v>
      </c>
      <c r="M190" s="720">
        <v>5621</v>
      </c>
      <c r="N190" s="720"/>
      <c r="O190" s="720"/>
      <c r="P190" s="745"/>
      <c r="Q190" s="721"/>
    </row>
    <row r="191" spans="1:17" ht="14.45" customHeight="1" x14ac:dyDescent="0.2">
      <c r="A191" s="715" t="s">
        <v>518</v>
      </c>
      <c r="B191" s="716" t="s">
        <v>3376</v>
      </c>
      <c r="C191" s="716" t="s">
        <v>3029</v>
      </c>
      <c r="D191" s="716" t="s">
        <v>3385</v>
      </c>
      <c r="E191" s="716" t="s">
        <v>3386</v>
      </c>
      <c r="F191" s="720">
        <v>5</v>
      </c>
      <c r="G191" s="720">
        <v>19120</v>
      </c>
      <c r="H191" s="720">
        <v>2.4941299243412471</v>
      </c>
      <c r="I191" s="720">
        <v>3824</v>
      </c>
      <c r="J191" s="720">
        <v>2</v>
      </c>
      <c r="K191" s="720">
        <v>7666</v>
      </c>
      <c r="L191" s="720">
        <v>1</v>
      </c>
      <c r="M191" s="720">
        <v>3833</v>
      </c>
      <c r="N191" s="720">
        <v>6</v>
      </c>
      <c r="O191" s="720">
        <v>23196</v>
      </c>
      <c r="P191" s="745">
        <v>3.0258283328985129</v>
      </c>
      <c r="Q191" s="721">
        <v>3866</v>
      </c>
    </row>
    <row r="192" spans="1:17" ht="14.45" customHeight="1" x14ac:dyDescent="0.2">
      <c r="A192" s="715" t="s">
        <v>518</v>
      </c>
      <c r="B192" s="716" t="s">
        <v>3376</v>
      </c>
      <c r="C192" s="716" t="s">
        <v>3029</v>
      </c>
      <c r="D192" s="716" t="s">
        <v>3387</v>
      </c>
      <c r="E192" s="716" t="s">
        <v>3388</v>
      </c>
      <c r="F192" s="720">
        <v>3</v>
      </c>
      <c r="G192" s="720">
        <v>4782</v>
      </c>
      <c r="H192" s="720"/>
      <c r="I192" s="720">
        <v>1594</v>
      </c>
      <c r="J192" s="720"/>
      <c r="K192" s="720"/>
      <c r="L192" s="720"/>
      <c r="M192" s="720"/>
      <c r="N192" s="720">
        <v>1</v>
      </c>
      <c r="O192" s="720">
        <v>1611</v>
      </c>
      <c r="P192" s="745"/>
      <c r="Q192" s="721">
        <v>1611</v>
      </c>
    </row>
    <row r="193" spans="1:17" ht="14.45" customHeight="1" x14ac:dyDescent="0.2">
      <c r="A193" s="715" t="s">
        <v>518</v>
      </c>
      <c r="B193" s="716" t="s">
        <v>3376</v>
      </c>
      <c r="C193" s="716" t="s">
        <v>3029</v>
      </c>
      <c r="D193" s="716" t="s">
        <v>3389</v>
      </c>
      <c r="E193" s="716" t="s">
        <v>3390</v>
      </c>
      <c r="F193" s="720">
        <v>2</v>
      </c>
      <c r="G193" s="720">
        <v>5736</v>
      </c>
      <c r="H193" s="720"/>
      <c r="I193" s="720">
        <v>2868</v>
      </c>
      <c r="J193" s="720"/>
      <c r="K193" s="720"/>
      <c r="L193" s="720"/>
      <c r="M193" s="720"/>
      <c r="N193" s="720">
        <v>1</v>
      </c>
      <c r="O193" s="720">
        <v>2900</v>
      </c>
      <c r="P193" s="745"/>
      <c r="Q193" s="721">
        <v>2900</v>
      </c>
    </row>
    <row r="194" spans="1:17" ht="14.45" customHeight="1" x14ac:dyDescent="0.2">
      <c r="A194" s="715" t="s">
        <v>518</v>
      </c>
      <c r="B194" s="716" t="s">
        <v>3376</v>
      </c>
      <c r="C194" s="716" t="s">
        <v>3029</v>
      </c>
      <c r="D194" s="716" t="s">
        <v>3391</v>
      </c>
      <c r="E194" s="716" t="s">
        <v>3392</v>
      </c>
      <c r="F194" s="720">
        <v>3</v>
      </c>
      <c r="G194" s="720">
        <v>3573</v>
      </c>
      <c r="H194" s="720"/>
      <c r="I194" s="720">
        <v>1191</v>
      </c>
      <c r="J194" s="720"/>
      <c r="K194" s="720"/>
      <c r="L194" s="720"/>
      <c r="M194" s="720"/>
      <c r="N194" s="720">
        <v>1</v>
      </c>
      <c r="O194" s="720">
        <v>1208</v>
      </c>
      <c r="P194" s="745"/>
      <c r="Q194" s="721">
        <v>1208</v>
      </c>
    </row>
    <row r="195" spans="1:17" ht="14.45" customHeight="1" x14ac:dyDescent="0.2">
      <c r="A195" s="715" t="s">
        <v>518</v>
      </c>
      <c r="B195" s="716" t="s">
        <v>3376</v>
      </c>
      <c r="C195" s="716" t="s">
        <v>3029</v>
      </c>
      <c r="D195" s="716" t="s">
        <v>3393</v>
      </c>
      <c r="E195" s="716" t="s">
        <v>3394</v>
      </c>
      <c r="F195" s="720"/>
      <c r="G195" s="720"/>
      <c r="H195" s="720"/>
      <c r="I195" s="720"/>
      <c r="J195" s="720">
        <v>1</v>
      </c>
      <c r="K195" s="720">
        <v>3990</v>
      </c>
      <c r="L195" s="720">
        <v>1</v>
      </c>
      <c r="M195" s="720">
        <v>3990</v>
      </c>
      <c r="N195" s="720">
        <v>2</v>
      </c>
      <c r="O195" s="720">
        <v>8034</v>
      </c>
      <c r="P195" s="745">
        <v>2.013533834586466</v>
      </c>
      <c r="Q195" s="721">
        <v>4017</v>
      </c>
    </row>
    <row r="196" spans="1:17" ht="14.45" customHeight="1" x14ac:dyDescent="0.2">
      <c r="A196" s="715" t="s">
        <v>518</v>
      </c>
      <c r="B196" s="716" t="s">
        <v>3376</v>
      </c>
      <c r="C196" s="716" t="s">
        <v>3029</v>
      </c>
      <c r="D196" s="716" t="s">
        <v>3395</v>
      </c>
      <c r="E196" s="716" t="s">
        <v>3396</v>
      </c>
      <c r="F196" s="720">
        <v>2</v>
      </c>
      <c r="G196" s="720">
        <v>11102</v>
      </c>
      <c r="H196" s="720"/>
      <c r="I196" s="720">
        <v>5551</v>
      </c>
      <c r="J196" s="720"/>
      <c r="K196" s="720"/>
      <c r="L196" s="720"/>
      <c r="M196" s="720"/>
      <c r="N196" s="720">
        <v>1</v>
      </c>
      <c r="O196" s="720">
        <v>5594</v>
      </c>
      <c r="P196" s="745"/>
      <c r="Q196" s="721">
        <v>5594</v>
      </c>
    </row>
    <row r="197" spans="1:17" ht="14.45" customHeight="1" x14ac:dyDescent="0.2">
      <c r="A197" s="715" t="s">
        <v>518</v>
      </c>
      <c r="B197" s="716" t="s">
        <v>3376</v>
      </c>
      <c r="C197" s="716" t="s">
        <v>3029</v>
      </c>
      <c r="D197" s="716" t="s">
        <v>3397</v>
      </c>
      <c r="E197" s="716" t="s">
        <v>3398</v>
      </c>
      <c r="F197" s="720">
        <v>6</v>
      </c>
      <c r="G197" s="720">
        <v>7944</v>
      </c>
      <c r="H197" s="720">
        <v>1.9954785229841749</v>
      </c>
      <c r="I197" s="720">
        <v>1324</v>
      </c>
      <c r="J197" s="720">
        <v>3</v>
      </c>
      <c r="K197" s="720">
        <v>3981</v>
      </c>
      <c r="L197" s="720">
        <v>1</v>
      </c>
      <c r="M197" s="720">
        <v>1327</v>
      </c>
      <c r="N197" s="720">
        <v>7</v>
      </c>
      <c r="O197" s="720">
        <v>9366</v>
      </c>
      <c r="P197" s="745">
        <v>2.3526752072343631</v>
      </c>
      <c r="Q197" s="721">
        <v>1338</v>
      </c>
    </row>
    <row r="198" spans="1:17" ht="14.45" customHeight="1" x14ac:dyDescent="0.2">
      <c r="A198" s="715" t="s">
        <v>518</v>
      </c>
      <c r="B198" s="716" t="s">
        <v>3376</v>
      </c>
      <c r="C198" s="716" t="s">
        <v>3029</v>
      </c>
      <c r="D198" s="716" t="s">
        <v>3399</v>
      </c>
      <c r="E198" s="716" t="s">
        <v>3400</v>
      </c>
      <c r="F198" s="720">
        <v>6</v>
      </c>
      <c r="G198" s="720">
        <v>2856</v>
      </c>
      <c r="H198" s="720"/>
      <c r="I198" s="720">
        <v>476</v>
      </c>
      <c r="J198" s="720"/>
      <c r="K198" s="720"/>
      <c r="L198" s="720"/>
      <c r="M198" s="720"/>
      <c r="N198" s="720">
        <v>2</v>
      </c>
      <c r="O198" s="720">
        <v>966</v>
      </c>
      <c r="P198" s="745"/>
      <c r="Q198" s="721">
        <v>483</v>
      </c>
    </row>
    <row r="199" spans="1:17" ht="14.45" customHeight="1" x14ac:dyDescent="0.2">
      <c r="A199" s="715" t="s">
        <v>518</v>
      </c>
      <c r="B199" s="716" t="s">
        <v>3376</v>
      </c>
      <c r="C199" s="716" t="s">
        <v>3029</v>
      </c>
      <c r="D199" s="716" t="s">
        <v>3401</v>
      </c>
      <c r="E199" s="716" t="s">
        <v>3402</v>
      </c>
      <c r="F199" s="720"/>
      <c r="G199" s="720"/>
      <c r="H199" s="720"/>
      <c r="I199" s="720"/>
      <c r="J199" s="720">
        <v>1</v>
      </c>
      <c r="K199" s="720">
        <v>4611</v>
      </c>
      <c r="L199" s="720">
        <v>1</v>
      </c>
      <c r="M199" s="720">
        <v>4611</v>
      </c>
      <c r="N199" s="720">
        <v>1</v>
      </c>
      <c r="O199" s="720">
        <v>4650</v>
      </c>
      <c r="P199" s="745">
        <v>1.0084580351333767</v>
      </c>
      <c r="Q199" s="721">
        <v>4650</v>
      </c>
    </row>
    <row r="200" spans="1:17" ht="14.45" customHeight="1" x14ac:dyDescent="0.2">
      <c r="A200" s="715" t="s">
        <v>518</v>
      </c>
      <c r="B200" s="716" t="s">
        <v>3376</v>
      </c>
      <c r="C200" s="716" t="s">
        <v>3029</v>
      </c>
      <c r="D200" s="716" t="s">
        <v>3403</v>
      </c>
      <c r="E200" s="716" t="s">
        <v>3404</v>
      </c>
      <c r="F200" s="720">
        <v>2</v>
      </c>
      <c r="G200" s="720">
        <v>8228</v>
      </c>
      <c r="H200" s="720">
        <v>1.9970873786407768</v>
      </c>
      <c r="I200" s="720">
        <v>4114</v>
      </c>
      <c r="J200" s="720">
        <v>1</v>
      </c>
      <c r="K200" s="720">
        <v>4120</v>
      </c>
      <c r="L200" s="720">
        <v>1</v>
      </c>
      <c r="M200" s="720">
        <v>4120</v>
      </c>
      <c r="N200" s="720"/>
      <c r="O200" s="720"/>
      <c r="P200" s="745"/>
      <c r="Q200" s="721"/>
    </row>
    <row r="201" spans="1:17" ht="14.45" customHeight="1" x14ac:dyDescent="0.2">
      <c r="A201" s="715" t="s">
        <v>518</v>
      </c>
      <c r="B201" s="716" t="s">
        <v>3376</v>
      </c>
      <c r="C201" s="716" t="s">
        <v>3029</v>
      </c>
      <c r="D201" s="716" t="s">
        <v>3405</v>
      </c>
      <c r="E201" s="716" t="s">
        <v>3406</v>
      </c>
      <c r="F201" s="720"/>
      <c r="G201" s="720"/>
      <c r="H201" s="720"/>
      <c r="I201" s="720"/>
      <c r="J201" s="720">
        <v>3</v>
      </c>
      <c r="K201" s="720">
        <v>1077</v>
      </c>
      <c r="L201" s="720">
        <v>1</v>
      </c>
      <c r="M201" s="720">
        <v>359</v>
      </c>
      <c r="N201" s="720">
        <v>3</v>
      </c>
      <c r="O201" s="720">
        <v>1089</v>
      </c>
      <c r="P201" s="745">
        <v>1.0111420612813371</v>
      </c>
      <c r="Q201" s="721">
        <v>363</v>
      </c>
    </row>
    <row r="202" spans="1:17" ht="14.45" customHeight="1" x14ac:dyDescent="0.2">
      <c r="A202" s="715" t="s">
        <v>518</v>
      </c>
      <c r="B202" s="716" t="s">
        <v>3376</v>
      </c>
      <c r="C202" s="716" t="s">
        <v>3029</v>
      </c>
      <c r="D202" s="716" t="s">
        <v>3407</v>
      </c>
      <c r="E202" s="716" t="s">
        <v>3408</v>
      </c>
      <c r="F202" s="720"/>
      <c r="G202" s="720"/>
      <c r="H202" s="720"/>
      <c r="I202" s="720"/>
      <c r="J202" s="720"/>
      <c r="K202" s="720"/>
      <c r="L202" s="720"/>
      <c r="M202" s="720"/>
      <c r="N202" s="720">
        <v>5</v>
      </c>
      <c r="O202" s="720">
        <v>775</v>
      </c>
      <c r="P202" s="745"/>
      <c r="Q202" s="721">
        <v>155</v>
      </c>
    </row>
    <row r="203" spans="1:17" ht="14.45" customHeight="1" x14ac:dyDescent="0.2">
      <c r="A203" s="715" t="s">
        <v>518</v>
      </c>
      <c r="B203" s="716" t="s">
        <v>3376</v>
      </c>
      <c r="C203" s="716" t="s">
        <v>3029</v>
      </c>
      <c r="D203" s="716" t="s">
        <v>3409</v>
      </c>
      <c r="E203" s="716" t="s">
        <v>3410</v>
      </c>
      <c r="F203" s="720">
        <v>1</v>
      </c>
      <c r="G203" s="720">
        <v>12901</v>
      </c>
      <c r="H203" s="720"/>
      <c r="I203" s="720">
        <v>12901</v>
      </c>
      <c r="J203" s="720"/>
      <c r="K203" s="720"/>
      <c r="L203" s="720"/>
      <c r="M203" s="720"/>
      <c r="N203" s="720"/>
      <c r="O203" s="720"/>
      <c r="P203" s="745"/>
      <c r="Q203" s="721"/>
    </row>
    <row r="204" spans="1:17" ht="14.45" customHeight="1" x14ac:dyDescent="0.2">
      <c r="A204" s="715" t="s">
        <v>518</v>
      </c>
      <c r="B204" s="716" t="s">
        <v>3376</v>
      </c>
      <c r="C204" s="716" t="s">
        <v>3029</v>
      </c>
      <c r="D204" s="716" t="s">
        <v>3411</v>
      </c>
      <c r="E204" s="716" t="s">
        <v>3412</v>
      </c>
      <c r="F204" s="720"/>
      <c r="G204" s="720"/>
      <c r="H204" s="720"/>
      <c r="I204" s="720"/>
      <c r="J204" s="720">
        <v>1</v>
      </c>
      <c r="K204" s="720">
        <v>2502</v>
      </c>
      <c r="L204" s="720">
        <v>1</v>
      </c>
      <c r="M204" s="720">
        <v>2502</v>
      </c>
      <c r="N204" s="720"/>
      <c r="O204" s="720"/>
      <c r="P204" s="745"/>
      <c r="Q204" s="721"/>
    </row>
    <row r="205" spans="1:17" ht="14.45" customHeight="1" x14ac:dyDescent="0.2">
      <c r="A205" s="715" t="s">
        <v>518</v>
      </c>
      <c r="B205" s="716" t="s">
        <v>3376</v>
      </c>
      <c r="C205" s="716" t="s">
        <v>3029</v>
      </c>
      <c r="D205" s="716" t="s">
        <v>3413</v>
      </c>
      <c r="E205" s="716" t="s">
        <v>3414</v>
      </c>
      <c r="F205" s="720"/>
      <c r="G205" s="720"/>
      <c r="H205" s="720"/>
      <c r="I205" s="720"/>
      <c r="J205" s="720"/>
      <c r="K205" s="720"/>
      <c r="L205" s="720"/>
      <c r="M205" s="720"/>
      <c r="N205" s="720">
        <v>1</v>
      </c>
      <c r="O205" s="720">
        <v>725</v>
      </c>
      <c r="P205" s="745"/>
      <c r="Q205" s="721">
        <v>725</v>
      </c>
    </row>
    <row r="206" spans="1:17" ht="14.45" customHeight="1" x14ac:dyDescent="0.2">
      <c r="A206" s="715" t="s">
        <v>518</v>
      </c>
      <c r="B206" s="716" t="s">
        <v>3376</v>
      </c>
      <c r="C206" s="716" t="s">
        <v>3029</v>
      </c>
      <c r="D206" s="716" t="s">
        <v>3415</v>
      </c>
      <c r="E206" s="716" t="s">
        <v>3416</v>
      </c>
      <c r="F206" s="720"/>
      <c r="G206" s="720"/>
      <c r="H206" s="720"/>
      <c r="I206" s="720"/>
      <c r="J206" s="720">
        <v>1</v>
      </c>
      <c r="K206" s="720">
        <v>1449</v>
      </c>
      <c r="L206" s="720">
        <v>1</v>
      </c>
      <c r="M206" s="720">
        <v>1449</v>
      </c>
      <c r="N206" s="720">
        <v>2</v>
      </c>
      <c r="O206" s="720">
        <v>2920</v>
      </c>
      <c r="P206" s="745">
        <v>2.0151828847481021</v>
      </c>
      <c r="Q206" s="721">
        <v>1460</v>
      </c>
    </row>
    <row r="207" spans="1:17" ht="14.45" customHeight="1" x14ac:dyDescent="0.2">
      <c r="A207" s="715" t="s">
        <v>518</v>
      </c>
      <c r="B207" s="716" t="s">
        <v>3376</v>
      </c>
      <c r="C207" s="716" t="s">
        <v>3029</v>
      </c>
      <c r="D207" s="716" t="s">
        <v>3417</v>
      </c>
      <c r="E207" s="716" t="s">
        <v>3418</v>
      </c>
      <c r="F207" s="720">
        <v>2</v>
      </c>
      <c r="G207" s="720">
        <v>9218</v>
      </c>
      <c r="H207" s="720">
        <v>1.9952380952380953</v>
      </c>
      <c r="I207" s="720">
        <v>4609</v>
      </c>
      <c r="J207" s="720">
        <v>1</v>
      </c>
      <c r="K207" s="720">
        <v>4620</v>
      </c>
      <c r="L207" s="720">
        <v>1</v>
      </c>
      <c r="M207" s="720">
        <v>4620</v>
      </c>
      <c r="N207" s="720"/>
      <c r="O207" s="720"/>
      <c r="P207" s="745"/>
      <c r="Q207" s="721"/>
    </row>
    <row r="208" spans="1:17" ht="14.45" customHeight="1" x14ac:dyDescent="0.2">
      <c r="A208" s="715" t="s">
        <v>518</v>
      </c>
      <c r="B208" s="716" t="s">
        <v>3376</v>
      </c>
      <c r="C208" s="716" t="s">
        <v>3029</v>
      </c>
      <c r="D208" s="716" t="s">
        <v>3419</v>
      </c>
      <c r="E208" s="716" t="s">
        <v>3420</v>
      </c>
      <c r="F208" s="720"/>
      <c r="G208" s="720"/>
      <c r="H208" s="720"/>
      <c r="I208" s="720"/>
      <c r="J208" s="720"/>
      <c r="K208" s="720"/>
      <c r="L208" s="720"/>
      <c r="M208" s="720"/>
      <c r="N208" s="720">
        <v>6</v>
      </c>
      <c r="O208" s="720">
        <v>1938</v>
      </c>
      <c r="P208" s="745"/>
      <c r="Q208" s="721">
        <v>323</v>
      </c>
    </row>
    <row r="209" spans="1:17" ht="14.45" customHeight="1" x14ac:dyDescent="0.2">
      <c r="A209" s="715" t="s">
        <v>518</v>
      </c>
      <c r="B209" s="716" t="s">
        <v>3028</v>
      </c>
      <c r="C209" s="716" t="s">
        <v>3421</v>
      </c>
      <c r="D209" s="716" t="s">
        <v>3422</v>
      </c>
      <c r="E209" s="716" t="s">
        <v>1552</v>
      </c>
      <c r="F209" s="720">
        <v>3.5999999999999996</v>
      </c>
      <c r="G209" s="720">
        <v>32750.47</v>
      </c>
      <c r="H209" s="720">
        <v>1.2672128565895477</v>
      </c>
      <c r="I209" s="720">
        <v>9097.3527777777781</v>
      </c>
      <c r="J209" s="720">
        <v>7.4999999999999991</v>
      </c>
      <c r="K209" s="720">
        <v>25844.49</v>
      </c>
      <c r="L209" s="720">
        <v>1</v>
      </c>
      <c r="M209" s="720">
        <v>3445.9320000000007</v>
      </c>
      <c r="N209" s="720">
        <v>5.1000000000000005</v>
      </c>
      <c r="O209" s="720">
        <v>5787.8499999999985</v>
      </c>
      <c r="P209" s="745">
        <v>0.22394908934167393</v>
      </c>
      <c r="Q209" s="721">
        <v>1134.8725490196075</v>
      </c>
    </row>
    <row r="210" spans="1:17" ht="14.45" customHeight="1" x14ac:dyDescent="0.2">
      <c r="A210" s="715" t="s">
        <v>518</v>
      </c>
      <c r="B210" s="716" t="s">
        <v>3028</v>
      </c>
      <c r="C210" s="716" t="s">
        <v>3421</v>
      </c>
      <c r="D210" s="716" t="s">
        <v>3423</v>
      </c>
      <c r="E210" s="716" t="s">
        <v>3424</v>
      </c>
      <c r="F210" s="720"/>
      <c r="G210" s="720"/>
      <c r="H210" s="720"/>
      <c r="I210" s="720"/>
      <c r="J210" s="720"/>
      <c r="K210" s="720"/>
      <c r="L210" s="720"/>
      <c r="M210" s="720"/>
      <c r="N210" s="720">
        <v>7</v>
      </c>
      <c r="O210" s="720">
        <v>894.09</v>
      </c>
      <c r="P210" s="745"/>
      <c r="Q210" s="721">
        <v>127.72714285714287</v>
      </c>
    </row>
    <row r="211" spans="1:17" ht="14.45" customHeight="1" x14ac:dyDescent="0.2">
      <c r="A211" s="715" t="s">
        <v>518</v>
      </c>
      <c r="B211" s="716" t="s">
        <v>3028</v>
      </c>
      <c r="C211" s="716" t="s">
        <v>3421</v>
      </c>
      <c r="D211" s="716" t="s">
        <v>3425</v>
      </c>
      <c r="E211" s="716" t="s">
        <v>1447</v>
      </c>
      <c r="F211" s="720">
        <v>46</v>
      </c>
      <c r="G211" s="720">
        <v>229452.86</v>
      </c>
      <c r="H211" s="720">
        <v>1.4022458877337252</v>
      </c>
      <c r="I211" s="720">
        <v>4988.1056521739129</v>
      </c>
      <c r="J211" s="720">
        <v>32</v>
      </c>
      <c r="K211" s="720">
        <v>163632.4</v>
      </c>
      <c r="L211" s="720">
        <v>1</v>
      </c>
      <c r="M211" s="720">
        <v>5113.5124999999998</v>
      </c>
      <c r="N211" s="720">
        <v>5</v>
      </c>
      <c r="O211" s="720">
        <v>20588.09</v>
      </c>
      <c r="P211" s="745">
        <v>0.12581915317504358</v>
      </c>
      <c r="Q211" s="721">
        <v>4117.6180000000004</v>
      </c>
    </row>
    <row r="212" spans="1:17" ht="14.45" customHeight="1" x14ac:dyDescent="0.2">
      <c r="A212" s="715" t="s">
        <v>518</v>
      </c>
      <c r="B212" s="716" t="s">
        <v>3028</v>
      </c>
      <c r="C212" s="716" t="s">
        <v>3421</v>
      </c>
      <c r="D212" s="716" t="s">
        <v>3426</v>
      </c>
      <c r="E212" s="716" t="s">
        <v>1856</v>
      </c>
      <c r="F212" s="720"/>
      <c r="G212" s="720"/>
      <c r="H212" s="720"/>
      <c r="I212" s="720"/>
      <c r="J212" s="720">
        <v>87.6</v>
      </c>
      <c r="K212" s="720">
        <v>33115.03</v>
      </c>
      <c r="L212" s="720">
        <v>1</v>
      </c>
      <c r="M212" s="720">
        <v>378.02545662100459</v>
      </c>
      <c r="N212" s="720">
        <v>168.85999999999999</v>
      </c>
      <c r="O212" s="720">
        <v>62707.149999999987</v>
      </c>
      <c r="P212" s="745">
        <v>1.8936159804173509</v>
      </c>
      <c r="Q212" s="721">
        <v>371.35585692289465</v>
      </c>
    </row>
    <row r="213" spans="1:17" ht="14.45" customHeight="1" x14ac:dyDescent="0.2">
      <c r="A213" s="715" t="s">
        <v>518</v>
      </c>
      <c r="B213" s="716" t="s">
        <v>3028</v>
      </c>
      <c r="C213" s="716" t="s">
        <v>3421</v>
      </c>
      <c r="D213" s="716" t="s">
        <v>3427</v>
      </c>
      <c r="E213" s="716" t="s">
        <v>713</v>
      </c>
      <c r="F213" s="720">
        <v>13</v>
      </c>
      <c r="G213" s="720">
        <v>8975.98</v>
      </c>
      <c r="H213" s="720"/>
      <c r="I213" s="720">
        <v>690.45999999999992</v>
      </c>
      <c r="J213" s="720"/>
      <c r="K213" s="720"/>
      <c r="L213" s="720"/>
      <c r="M213" s="720"/>
      <c r="N213" s="720">
        <v>15</v>
      </c>
      <c r="O213" s="720">
        <v>7968.9</v>
      </c>
      <c r="P213" s="745"/>
      <c r="Q213" s="721">
        <v>531.26</v>
      </c>
    </row>
    <row r="214" spans="1:17" ht="14.45" customHeight="1" x14ac:dyDescent="0.2">
      <c r="A214" s="715" t="s">
        <v>518</v>
      </c>
      <c r="B214" s="716" t="s">
        <v>3028</v>
      </c>
      <c r="C214" s="716" t="s">
        <v>3421</v>
      </c>
      <c r="D214" s="716" t="s">
        <v>3428</v>
      </c>
      <c r="E214" s="716" t="s">
        <v>1545</v>
      </c>
      <c r="F214" s="720">
        <v>458</v>
      </c>
      <c r="G214" s="720">
        <v>26747.200000000001</v>
      </c>
      <c r="H214" s="720">
        <v>1.0750694045019376</v>
      </c>
      <c r="I214" s="720">
        <v>58.4</v>
      </c>
      <c r="J214" s="720">
        <v>654</v>
      </c>
      <c r="K214" s="720">
        <v>24879.510000000002</v>
      </c>
      <c r="L214" s="720">
        <v>1</v>
      </c>
      <c r="M214" s="720">
        <v>38.042064220183491</v>
      </c>
      <c r="N214" s="720">
        <v>692</v>
      </c>
      <c r="O214" s="720">
        <v>25491.600000000006</v>
      </c>
      <c r="P214" s="745">
        <v>1.0246021726312136</v>
      </c>
      <c r="Q214" s="721">
        <v>36.837572254335271</v>
      </c>
    </row>
    <row r="215" spans="1:17" ht="14.45" customHeight="1" x14ac:dyDescent="0.2">
      <c r="A215" s="715" t="s">
        <v>518</v>
      </c>
      <c r="B215" s="716" t="s">
        <v>3028</v>
      </c>
      <c r="C215" s="716" t="s">
        <v>3421</v>
      </c>
      <c r="D215" s="716" t="s">
        <v>3429</v>
      </c>
      <c r="E215" s="716" t="s">
        <v>3430</v>
      </c>
      <c r="F215" s="720"/>
      <c r="G215" s="720"/>
      <c r="H215" s="720"/>
      <c r="I215" s="720"/>
      <c r="J215" s="720"/>
      <c r="K215" s="720"/>
      <c r="L215" s="720"/>
      <c r="M215" s="720"/>
      <c r="N215" s="720">
        <v>0.2</v>
      </c>
      <c r="O215" s="720">
        <v>972.62</v>
      </c>
      <c r="P215" s="745"/>
      <c r="Q215" s="721">
        <v>4863.0999999999995</v>
      </c>
    </row>
    <row r="216" spans="1:17" ht="14.45" customHeight="1" x14ac:dyDescent="0.2">
      <c r="A216" s="715" t="s">
        <v>518</v>
      </c>
      <c r="B216" s="716" t="s">
        <v>3028</v>
      </c>
      <c r="C216" s="716" t="s">
        <v>3421</v>
      </c>
      <c r="D216" s="716" t="s">
        <v>3431</v>
      </c>
      <c r="E216" s="716" t="s">
        <v>3432</v>
      </c>
      <c r="F216" s="720">
        <v>8</v>
      </c>
      <c r="G216" s="720">
        <v>847.68</v>
      </c>
      <c r="H216" s="720"/>
      <c r="I216" s="720">
        <v>105.96</v>
      </c>
      <c r="J216" s="720"/>
      <c r="K216" s="720"/>
      <c r="L216" s="720"/>
      <c r="M216" s="720"/>
      <c r="N216" s="720"/>
      <c r="O216" s="720"/>
      <c r="P216" s="745"/>
      <c r="Q216" s="721"/>
    </row>
    <row r="217" spans="1:17" ht="14.45" customHeight="1" x14ac:dyDescent="0.2">
      <c r="A217" s="715" t="s">
        <v>518</v>
      </c>
      <c r="B217" s="716" t="s">
        <v>3028</v>
      </c>
      <c r="C217" s="716" t="s">
        <v>3421</v>
      </c>
      <c r="D217" s="716" t="s">
        <v>3433</v>
      </c>
      <c r="E217" s="716" t="s">
        <v>3434</v>
      </c>
      <c r="F217" s="720">
        <v>41.649999999999991</v>
      </c>
      <c r="G217" s="720">
        <v>28832.120000000003</v>
      </c>
      <c r="H217" s="720">
        <v>1.7071557903437624</v>
      </c>
      <c r="I217" s="720">
        <v>692.24777911164483</v>
      </c>
      <c r="J217" s="720">
        <v>26.799999999999997</v>
      </c>
      <c r="K217" s="720">
        <v>16888.980000000003</v>
      </c>
      <c r="L217" s="720">
        <v>1</v>
      </c>
      <c r="M217" s="720">
        <v>630.18582089552262</v>
      </c>
      <c r="N217" s="720"/>
      <c r="O217" s="720"/>
      <c r="P217" s="745"/>
      <c r="Q217" s="721"/>
    </row>
    <row r="218" spans="1:17" ht="14.45" customHeight="1" x14ac:dyDescent="0.2">
      <c r="A218" s="715" t="s">
        <v>518</v>
      </c>
      <c r="B218" s="716" t="s">
        <v>3028</v>
      </c>
      <c r="C218" s="716" t="s">
        <v>3421</v>
      </c>
      <c r="D218" s="716" t="s">
        <v>3435</v>
      </c>
      <c r="E218" s="716" t="s">
        <v>3436</v>
      </c>
      <c r="F218" s="720">
        <v>1</v>
      </c>
      <c r="G218" s="720">
        <v>12377.43</v>
      </c>
      <c r="H218" s="720">
        <v>0.16666666666666666</v>
      </c>
      <c r="I218" s="720">
        <v>12377.43</v>
      </c>
      <c r="J218" s="720">
        <v>6</v>
      </c>
      <c r="K218" s="720">
        <v>74264.58</v>
      </c>
      <c r="L218" s="720">
        <v>1</v>
      </c>
      <c r="M218" s="720">
        <v>12377.43</v>
      </c>
      <c r="N218" s="720"/>
      <c r="O218" s="720"/>
      <c r="P218" s="745"/>
      <c r="Q218" s="721"/>
    </row>
    <row r="219" spans="1:17" ht="14.45" customHeight="1" x14ac:dyDescent="0.2">
      <c r="A219" s="715" t="s">
        <v>518</v>
      </c>
      <c r="B219" s="716" t="s">
        <v>3028</v>
      </c>
      <c r="C219" s="716" t="s">
        <v>3421</v>
      </c>
      <c r="D219" s="716" t="s">
        <v>3437</v>
      </c>
      <c r="E219" s="716" t="s">
        <v>1805</v>
      </c>
      <c r="F219" s="720">
        <v>82.7</v>
      </c>
      <c r="G219" s="720">
        <v>993508.17999999993</v>
      </c>
      <c r="H219" s="720">
        <v>1.0375014580769839</v>
      </c>
      <c r="I219" s="720">
        <v>12013.4</v>
      </c>
      <c r="J219" s="720">
        <v>83.3</v>
      </c>
      <c r="K219" s="720">
        <v>957596.90000000014</v>
      </c>
      <c r="L219" s="720">
        <v>1</v>
      </c>
      <c r="M219" s="720">
        <v>11495.761104441779</v>
      </c>
      <c r="N219" s="720">
        <v>80.500000000000014</v>
      </c>
      <c r="O219" s="720">
        <v>243565.69</v>
      </c>
      <c r="P219" s="745">
        <v>0.25435095915619604</v>
      </c>
      <c r="Q219" s="721">
        <v>3025.6607453416145</v>
      </c>
    </row>
    <row r="220" spans="1:17" ht="14.45" customHeight="1" x14ac:dyDescent="0.2">
      <c r="A220" s="715" t="s">
        <v>518</v>
      </c>
      <c r="B220" s="716" t="s">
        <v>3028</v>
      </c>
      <c r="C220" s="716" t="s">
        <v>3421</v>
      </c>
      <c r="D220" s="716" t="s">
        <v>3438</v>
      </c>
      <c r="E220" s="716" t="s">
        <v>1437</v>
      </c>
      <c r="F220" s="720"/>
      <c r="G220" s="720"/>
      <c r="H220" s="720"/>
      <c r="I220" s="720"/>
      <c r="J220" s="720"/>
      <c r="K220" s="720"/>
      <c r="L220" s="720"/>
      <c r="M220" s="720"/>
      <c r="N220" s="720">
        <v>2</v>
      </c>
      <c r="O220" s="720">
        <v>11420.86</v>
      </c>
      <c r="P220" s="745"/>
      <c r="Q220" s="721">
        <v>5710.43</v>
      </c>
    </row>
    <row r="221" spans="1:17" ht="14.45" customHeight="1" x14ac:dyDescent="0.2">
      <c r="A221" s="715" t="s">
        <v>518</v>
      </c>
      <c r="B221" s="716" t="s">
        <v>3028</v>
      </c>
      <c r="C221" s="716" t="s">
        <v>3421</v>
      </c>
      <c r="D221" s="716" t="s">
        <v>3439</v>
      </c>
      <c r="E221" s="716" t="s">
        <v>1437</v>
      </c>
      <c r="F221" s="720"/>
      <c r="G221" s="720"/>
      <c r="H221" s="720"/>
      <c r="I221" s="720"/>
      <c r="J221" s="720"/>
      <c r="K221" s="720"/>
      <c r="L221" s="720"/>
      <c r="M221" s="720"/>
      <c r="N221" s="720">
        <v>13</v>
      </c>
      <c r="O221" s="720">
        <v>148471.31</v>
      </c>
      <c r="P221" s="745"/>
      <c r="Q221" s="721">
        <v>11420.869999999999</v>
      </c>
    </row>
    <row r="222" spans="1:17" ht="14.45" customHeight="1" x14ac:dyDescent="0.2">
      <c r="A222" s="715" t="s">
        <v>518</v>
      </c>
      <c r="B222" s="716" t="s">
        <v>3028</v>
      </c>
      <c r="C222" s="716" t="s">
        <v>3421</v>
      </c>
      <c r="D222" s="716" t="s">
        <v>3440</v>
      </c>
      <c r="E222" s="716" t="s">
        <v>3430</v>
      </c>
      <c r="F222" s="720">
        <v>1.7000000000000002</v>
      </c>
      <c r="G222" s="720">
        <v>8404.7000000000007</v>
      </c>
      <c r="H222" s="720"/>
      <c r="I222" s="720">
        <v>4943.9411764705883</v>
      </c>
      <c r="J222" s="720"/>
      <c r="K222" s="720"/>
      <c r="L222" s="720"/>
      <c r="M222" s="720"/>
      <c r="N222" s="720"/>
      <c r="O222" s="720"/>
      <c r="P222" s="745"/>
      <c r="Q222" s="721"/>
    </row>
    <row r="223" spans="1:17" ht="14.45" customHeight="1" x14ac:dyDescent="0.2">
      <c r="A223" s="715" t="s">
        <v>518</v>
      </c>
      <c r="B223" s="716" t="s">
        <v>3028</v>
      </c>
      <c r="C223" s="716" t="s">
        <v>3421</v>
      </c>
      <c r="D223" s="716" t="s">
        <v>3441</v>
      </c>
      <c r="E223" s="716" t="s">
        <v>1443</v>
      </c>
      <c r="F223" s="720">
        <v>77</v>
      </c>
      <c r="G223" s="720">
        <v>704150.01</v>
      </c>
      <c r="H223" s="720">
        <v>1.2401095649949665</v>
      </c>
      <c r="I223" s="720">
        <v>9144.8053246753243</v>
      </c>
      <c r="J223" s="720">
        <v>62</v>
      </c>
      <c r="K223" s="720">
        <v>567812.74</v>
      </c>
      <c r="L223" s="720">
        <v>1</v>
      </c>
      <c r="M223" s="720">
        <v>9158.27</v>
      </c>
      <c r="N223" s="720">
        <v>67</v>
      </c>
      <c r="O223" s="720">
        <v>612487.91999999993</v>
      </c>
      <c r="P223" s="745">
        <v>1.0786794251921856</v>
      </c>
      <c r="Q223" s="721">
        <v>9141.6107462686559</v>
      </c>
    </row>
    <row r="224" spans="1:17" ht="14.45" customHeight="1" x14ac:dyDescent="0.2">
      <c r="A224" s="715" t="s">
        <v>518</v>
      </c>
      <c r="B224" s="716" t="s">
        <v>3028</v>
      </c>
      <c r="C224" s="716" t="s">
        <v>3421</v>
      </c>
      <c r="D224" s="716" t="s">
        <v>3442</v>
      </c>
      <c r="E224" s="716" t="s">
        <v>1443</v>
      </c>
      <c r="F224" s="720"/>
      <c r="G224" s="720"/>
      <c r="H224" s="720"/>
      <c r="I224" s="720"/>
      <c r="J224" s="720"/>
      <c r="K224" s="720"/>
      <c r="L224" s="720"/>
      <c r="M224" s="720"/>
      <c r="N224" s="720">
        <v>5</v>
      </c>
      <c r="O224" s="720">
        <v>87286.75</v>
      </c>
      <c r="P224" s="745"/>
      <c r="Q224" s="721">
        <v>17457.349999999999</v>
      </c>
    </row>
    <row r="225" spans="1:17" ht="14.45" customHeight="1" x14ac:dyDescent="0.2">
      <c r="A225" s="715" t="s">
        <v>518</v>
      </c>
      <c r="B225" s="716" t="s">
        <v>3028</v>
      </c>
      <c r="C225" s="716" t="s">
        <v>3421</v>
      </c>
      <c r="D225" s="716" t="s">
        <v>3443</v>
      </c>
      <c r="E225" s="716" t="s">
        <v>1812</v>
      </c>
      <c r="F225" s="720">
        <v>11.8</v>
      </c>
      <c r="G225" s="720">
        <v>7299.04</v>
      </c>
      <c r="H225" s="720">
        <v>2.8852697489089878</v>
      </c>
      <c r="I225" s="720">
        <v>618.56271186440677</v>
      </c>
      <c r="J225" s="720">
        <v>9.3999999999999986</v>
      </c>
      <c r="K225" s="720">
        <v>2529.7599999999998</v>
      </c>
      <c r="L225" s="720">
        <v>1</v>
      </c>
      <c r="M225" s="720">
        <v>269.12340425531914</v>
      </c>
      <c r="N225" s="720">
        <v>20.400000000000002</v>
      </c>
      <c r="O225" s="720">
        <v>4597.3899999999994</v>
      </c>
      <c r="P225" s="745">
        <v>1.817322591866422</v>
      </c>
      <c r="Q225" s="721">
        <v>225.36225490196074</v>
      </c>
    </row>
    <row r="226" spans="1:17" ht="14.45" customHeight="1" x14ac:dyDescent="0.2">
      <c r="A226" s="715" t="s">
        <v>518</v>
      </c>
      <c r="B226" s="716" t="s">
        <v>3028</v>
      </c>
      <c r="C226" s="716" t="s">
        <v>3421</v>
      </c>
      <c r="D226" s="716" t="s">
        <v>3444</v>
      </c>
      <c r="E226" s="716" t="s">
        <v>1524</v>
      </c>
      <c r="F226" s="720">
        <v>3</v>
      </c>
      <c r="G226" s="720">
        <v>231.66</v>
      </c>
      <c r="H226" s="720">
        <v>0.25396303361178713</v>
      </c>
      <c r="I226" s="720">
        <v>77.22</v>
      </c>
      <c r="J226" s="720">
        <v>12</v>
      </c>
      <c r="K226" s="720">
        <v>912.18000000000006</v>
      </c>
      <c r="L226" s="720">
        <v>1</v>
      </c>
      <c r="M226" s="720">
        <v>76.015000000000001</v>
      </c>
      <c r="N226" s="720"/>
      <c r="O226" s="720"/>
      <c r="P226" s="745"/>
      <c r="Q226" s="721"/>
    </row>
    <row r="227" spans="1:17" ht="14.45" customHeight="1" x14ac:dyDescent="0.2">
      <c r="A227" s="715" t="s">
        <v>518</v>
      </c>
      <c r="B227" s="716" t="s">
        <v>3028</v>
      </c>
      <c r="C227" s="716" t="s">
        <v>3421</v>
      </c>
      <c r="D227" s="716" t="s">
        <v>3445</v>
      </c>
      <c r="E227" s="716" t="s">
        <v>3446</v>
      </c>
      <c r="F227" s="720">
        <v>477.91999999999996</v>
      </c>
      <c r="G227" s="720">
        <v>129857.81000000001</v>
      </c>
      <c r="H227" s="720">
        <v>1.3391837585806763</v>
      </c>
      <c r="I227" s="720">
        <v>271.71453381319054</v>
      </c>
      <c r="J227" s="720">
        <v>438.72</v>
      </c>
      <c r="K227" s="720">
        <v>96967.880000000019</v>
      </c>
      <c r="L227" s="720">
        <v>1</v>
      </c>
      <c r="M227" s="720">
        <v>221.02452589350841</v>
      </c>
      <c r="N227" s="720">
        <v>531.6</v>
      </c>
      <c r="O227" s="720">
        <v>99713.299999999974</v>
      </c>
      <c r="P227" s="745">
        <v>1.0283126742587334</v>
      </c>
      <c r="Q227" s="721">
        <v>187.57204665161771</v>
      </c>
    </row>
    <row r="228" spans="1:17" ht="14.45" customHeight="1" x14ac:dyDescent="0.2">
      <c r="A228" s="715" t="s">
        <v>518</v>
      </c>
      <c r="B228" s="716" t="s">
        <v>3028</v>
      </c>
      <c r="C228" s="716" t="s">
        <v>3421</v>
      </c>
      <c r="D228" s="716" t="s">
        <v>3447</v>
      </c>
      <c r="E228" s="716" t="s">
        <v>3448</v>
      </c>
      <c r="F228" s="720"/>
      <c r="G228" s="720"/>
      <c r="H228" s="720"/>
      <c r="I228" s="720"/>
      <c r="J228" s="720">
        <v>10</v>
      </c>
      <c r="K228" s="720">
        <v>599.79999999999995</v>
      </c>
      <c r="L228" s="720">
        <v>1</v>
      </c>
      <c r="M228" s="720">
        <v>59.98</v>
      </c>
      <c r="N228" s="720">
        <v>51</v>
      </c>
      <c r="O228" s="720">
        <v>3353.25</v>
      </c>
      <c r="P228" s="745">
        <v>5.5906135378459494</v>
      </c>
      <c r="Q228" s="721">
        <v>65.75</v>
      </c>
    </row>
    <row r="229" spans="1:17" ht="14.45" customHeight="1" x14ac:dyDescent="0.2">
      <c r="A229" s="715" t="s">
        <v>518</v>
      </c>
      <c r="B229" s="716" t="s">
        <v>3028</v>
      </c>
      <c r="C229" s="716" t="s">
        <v>3421</v>
      </c>
      <c r="D229" s="716" t="s">
        <v>3449</v>
      </c>
      <c r="E229" s="716" t="s">
        <v>3448</v>
      </c>
      <c r="F229" s="720"/>
      <c r="G229" s="720"/>
      <c r="H229" s="720"/>
      <c r="I229" s="720"/>
      <c r="J229" s="720">
        <v>73</v>
      </c>
      <c r="K229" s="720">
        <v>7435.04</v>
      </c>
      <c r="L229" s="720">
        <v>1</v>
      </c>
      <c r="M229" s="720">
        <v>101.84986301369862</v>
      </c>
      <c r="N229" s="720">
        <v>113</v>
      </c>
      <c r="O229" s="720">
        <v>14857.239999999998</v>
      </c>
      <c r="P229" s="745">
        <v>1.9982730422432156</v>
      </c>
      <c r="Q229" s="721">
        <v>131.47999999999999</v>
      </c>
    </row>
    <row r="230" spans="1:17" ht="14.45" customHeight="1" x14ac:dyDescent="0.2">
      <c r="A230" s="715" t="s">
        <v>518</v>
      </c>
      <c r="B230" s="716" t="s">
        <v>3028</v>
      </c>
      <c r="C230" s="716" t="s">
        <v>3421</v>
      </c>
      <c r="D230" s="716" t="s">
        <v>3450</v>
      </c>
      <c r="E230" s="716" t="s">
        <v>1452</v>
      </c>
      <c r="F230" s="720"/>
      <c r="G230" s="720"/>
      <c r="H230" s="720"/>
      <c r="I230" s="720"/>
      <c r="J230" s="720"/>
      <c r="K230" s="720"/>
      <c r="L230" s="720"/>
      <c r="M230" s="720"/>
      <c r="N230" s="720">
        <v>4</v>
      </c>
      <c r="O230" s="720">
        <v>17259.64</v>
      </c>
      <c r="P230" s="745"/>
      <c r="Q230" s="721">
        <v>4314.91</v>
      </c>
    </row>
    <row r="231" spans="1:17" ht="14.45" customHeight="1" x14ac:dyDescent="0.2">
      <c r="A231" s="715" t="s">
        <v>518</v>
      </c>
      <c r="B231" s="716" t="s">
        <v>3028</v>
      </c>
      <c r="C231" s="716" t="s">
        <v>3421</v>
      </c>
      <c r="D231" s="716" t="s">
        <v>3451</v>
      </c>
      <c r="E231" s="716" t="s">
        <v>1452</v>
      </c>
      <c r="F231" s="720"/>
      <c r="G231" s="720"/>
      <c r="H231" s="720"/>
      <c r="I231" s="720"/>
      <c r="J231" s="720"/>
      <c r="K231" s="720"/>
      <c r="L231" s="720"/>
      <c r="M231" s="720"/>
      <c r="N231" s="720">
        <v>5</v>
      </c>
      <c r="O231" s="720">
        <v>43149.15</v>
      </c>
      <c r="P231" s="745"/>
      <c r="Q231" s="721">
        <v>8629.83</v>
      </c>
    </row>
    <row r="232" spans="1:17" ht="14.45" customHeight="1" x14ac:dyDescent="0.2">
      <c r="A232" s="715" t="s">
        <v>518</v>
      </c>
      <c r="B232" s="716" t="s">
        <v>3028</v>
      </c>
      <c r="C232" s="716" t="s">
        <v>3421</v>
      </c>
      <c r="D232" s="716" t="s">
        <v>3452</v>
      </c>
      <c r="E232" s="716" t="s">
        <v>1147</v>
      </c>
      <c r="F232" s="720">
        <v>1.5</v>
      </c>
      <c r="G232" s="720">
        <v>1841.55</v>
      </c>
      <c r="H232" s="720">
        <v>1.6666666666666665</v>
      </c>
      <c r="I232" s="720">
        <v>1227.7</v>
      </c>
      <c r="J232" s="720">
        <v>0.9</v>
      </c>
      <c r="K232" s="720">
        <v>1104.93</v>
      </c>
      <c r="L232" s="720">
        <v>1</v>
      </c>
      <c r="M232" s="720">
        <v>1227.7</v>
      </c>
      <c r="N232" s="720"/>
      <c r="O232" s="720"/>
      <c r="P232" s="745"/>
      <c r="Q232" s="721"/>
    </row>
    <row r="233" spans="1:17" ht="14.45" customHeight="1" x14ac:dyDescent="0.2">
      <c r="A233" s="715" t="s">
        <v>518</v>
      </c>
      <c r="B233" s="716" t="s">
        <v>3028</v>
      </c>
      <c r="C233" s="716" t="s">
        <v>3421</v>
      </c>
      <c r="D233" s="716" t="s">
        <v>3453</v>
      </c>
      <c r="E233" s="716" t="s">
        <v>1456</v>
      </c>
      <c r="F233" s="720">
        <v>5.3</v>
      </c>
      <c r="G233" s="720">
        <v>2274.7599999999998</v>
      </c>
      <c r="H233" s="720">
        <v>0.49180809893412314</v>
      </c>
      <c r="I233" s="720">
        <v>429.2</v>
      </c>
      <c r="J233" s="720">
        <v>12.600000000000001</v>
      </c>
      <c r="K233" s="720">
        <v>4625.3</v>
      </c>
      <c r="L233" s="720">
        <v>1</v>
      </c>
      <c r="M233" s="720">
        <v>367.08730158730157</v>
      </c>
      <c r="N233" s="720">
        <v>4.9000000000000004</v>
      </c>
      <c r="O233" s="720">
        <v>1727.5300000000004</v>
      </c>
      <c r="P233" s="745">
        <v>0.37349577324714078</v>
      </c>
      <c r="Q233" s="721">
        <v>352.55714285714294</v>
      </c>
    </row>
    <row r="234" spans="1:17" ht="14.45" customHeight="1" x14ac:dyDescent="0.2">
      <c r="A234" s="715" t="s">
        <v>518</v>
      </c>
      <c r="B234" s="716" t="s">
        <v>3028</v>
      </c>
      <c r="C234" s="716" t="s">
        <v>3421</v>
      </c>
      <c r="D234" s="716" t="s">
        <v>3454</v>
      </c>
      <c r="E234" s="716" t="s">
        <v>3455</v>
      </c>
      <c r="F234" s="720">
        <v>77</v>
      </c>
      <c r="G234" s="720">
        <v>4983.79</v>
      </c>
      <c r="H234" s="720"/>
      <c r="I234" s="720">
        <v>64.724545454545449</v>
      </c>
      <c r="J234" s="720"/>
      <c r="K234" s="720"/>
      <c r="L234" s="720"/>
      <c r="M234" s="720"/>
      <c r="N234" s="720"/>
      <c r="O234" s="720"/>
      <c r="P234" s="745"/>
      <c r="Q234" s="721"/>
    </row>
    <row r="235" spans="1:17" ht="14.45" customHeight="1" x14ac:dyDescent="0.2">
      <c r="A235" s="715" t="s">
        <v>518</v>
      </c>
      <c r="B235" s="716" t="s">
        <v>3028</v>
      </c>
      <c r="C235" s="716" t="s">
        <v>3421</v>
      </c>
      <c r="D235" s="716" t="s">
        <v>3456</v>
      </c>
      <c r="E235" s="716" t="s">
        <v>3457</v>
      </c>
      <c r="F235" s="720">
        <v>2.2000000000000002</v>
      </c>
      <c r="G235" s="720">
        <v>173.36</v>
      </c>
      <c r="H235" s="720">
        <v>2.1082330049860154</v>
      </c>
      <c r="I235" s="720">
        <v>78.8</v>
      </c>
      <c r="J235" s="720">
        <v>1.4</v>
      </c>
      <c r="K235" s="720">
        <v>82.22999999999999</v>
      </c>
      <c r="L235" s="720">
        <v>1</v>
      </c>
      <c r="M235" s="720">
        <v>58.73571428571428</v>
      </c>
      <c r="N235" s="720">
        <v>14.45</v>
      </c>
      <c r="O235" s="720">
        <v>852.55</v>
      </c>
      <c r="P235" s="745">
        <v>10.36787060683449</v>
      </c>
      <c r="Q235" s="721">
        <v>59</v>
      </c>
    </row>
    <row r="236" spans="1:17" ht="14.45" customHeight="1" x14ac:dyDescent="0.2">
      <c r="A236" s="715" t="s">
        <v>518</v>
      </c>
      <c r="B236" s="716" t="s">
        <v>3028</v>
      </c>
      <c r="C236" s="716" t="s">
        <v>3421</v>
      </c>
      <c r="D236" s="716" t="s">
        <v>3458</v>
      </c>
      <c r="E236" s="716" t="s">
        <v>3459</v>
      </c>
      <c r="F236" s="720">
        <v>1945</v>
      </c>
      <c r="G236" s="720">
        <v>94367.41</v>
      </c>
      <c r="H236" s="720">
        <v>1.300727418382869</v>
      </c>
      <c r="I236" s="720">
        <v>48.517948586118251</v>
      </c>
      <c r="J236" s="720">
        <v>1644</v>
      </c>
      <c r="K236" s="720">
        <v>72549.72</v>
      </c>
      <c r="L236" s="720">
        <v>1</v>
      </c>
      <c r="M236" s="720">
        <v>44.13</v>
      </c>
      <c r="N236" s="720"/>
      <c r="O236" s="720"/>
      <c r="P236" s="745"/>
      <c r="Q236" s="721"/>
    </row>
    <row r="237" spans="1:17" ht="14.45" customHeight="1" x14ac:dyDescent="0.2">
      <c r="A237" s="715" t="s">
        <v>518</v>
      </c>
      <c r="B237" s="716" t="s">
        <v>3028</v>
      </c>
      <c r="C237" s="716" t="s">
        <v>3421</v>
      </c>
      <c r="D237" s="716" t="s">
        <v>3460</v>
      </c>
      <c r="E237" s="716" t="s">
        <v>3461</v>
      </c>
      <c r="F237" s="720">
        <v>3</v>
      </c>
      <c r="G237" s="720">
        <v>3862.08</v>
      </c>
      <c r="H237" s="720"/>
      <c r="I237" s="720">
        <v>1287.3599999999999</v>
      </c>
      <c r="J237" s="720"/>
      <c r="K237" s="720"/>
      <c r="L237" s="720"/>
      <c r="M237" s="720"/>
      <c r="N237" s="720"/>
      <c r="O237" s="720"/>
      <c r="P237" s="745"/>
      <c r="Q237" s="721"/>
    </row>
    <row r="238" spans="1:17" ht="14.45" customHeight="1" x14ac:dyDescent="0.2">
      <c r="A238" s="715" t="s">
        <v>518</v>
      </c>
      <c r="B238" s="716" t="s">
        <v>3028</v>
      </c>
      <c r="C238" s="716" t="s">
        <v>3421</v>
      </c>
      <c r="D238" s="716" t="s">
        <v>3462</v>
      </c>
      <c r="E238" s="716" t="s">
        <v>3463</v>
      </c>
      <c r="F238" s="720">
        <v>7</v>
      </c>
      <c r="G238" s="720">
        <v>9011.5199999999986</v>
      </c>
      <c r="H238" s="720">
        <v>3.4999999999999996</v>
      </c>
      <c r="I238" s="720">
        <v>1287.3599999999999</v>
      </c>
      <c r="J238" s="720">
        <v>2</v>
      </c>
      <c r="K238" s="720">
        <v>2574.7199999999998</v>
      </c>
      <c r="L238" s="720">
        <v>1</v>
      </c>
      <c r="M238" s="720">
        <v>1287.3599999999999</v>
      </c>
      <c r="N238" s="720"/>
      <c r="O238" s="720"/>
      <c r="P238" s="745"/>
      <c r="Q238" s="721"/>
    </row>
    <row r="239" spans="1:17" ht="14.45" customHeight="1" x14ac:dyDescent="0.2">
      <c r="A239" s="715" t="s">
        <v>518</v>
      </c>
      <c r="B239" s="716" t="s">
        <v>3028</v>
      </c>
      <c r="C239" s="716" t="s">
        <v>3421</v>
      </c>
      <c r="D239" s="716" t="s">
        <v>3464</v>
      </c>
      <c r="E239" s="716" t="s">
        <v>3465</v>
      </c>
      <c r="F239" s="720">
        <v>15.95</v>
      </c>
      <c r="G239" s="720">
        <v>12204.939999999999</v>
      </c>
      <c r="H239" s="720">
        <v>0.80197732242735176</v>
      </c>
      <c r="I239" s="720">
        <v>765.19999999999993</v>
      </c>
      <c r="J239" s="720">
        <v>21.22</v>
      </c>
      <c r="K239" s="720">
        <v>15218.560000000001</v>
      </c>
      <c r="L239" s="720">
        <v>1</v>
      </c>
      <c r="M239" s="720">
        <v>717.18001885014144</v>
      </c>
      <c r="N239" s="720">
        <v>18.75</v>
      </c>
      <c r="O239" s="720">
        <v>12860.55</v>
      </c>
      <c r="P239" s="745">
        <v>0.84505695676857717</v>
      </c>
      <c r="Q239" s="721">
        <v>685.89599999999996</v>
      </c>
    </row>
    <row r="240" spans="1:17" ht="14.45" customHeight="1" x14ac:dyDescent="0.2">
      <c r="A240" s="715" t="s">
        <v>518</v>
      </c>
      <c r="B240" s="716" t="s">
        <v>3028</v>
      </c>
      <c r="C240" s="716" t="s">
        <v>3421</v>
      </c>
      <c r="D240" s="716" t="s">
        <v>3466</v>
      </c>
      <c r="E240" s="716" t="s">
        <v>3465</v>
      </c>
      <c r="F240" s="720">
        <v>4.9499999999999993</v>
      </c>
      <c r="G240" s="720">
        <v>1864.4199999999998</v>
      </c>
      <c r="H240" s="720">
        <v>0.85971853327431014</v>
      </c>
      <c r="I240" s="720">
        <v>376.65050505050505</v>
      </c>
      <c r="J240" s="720">
        <v>6.3500000000000005</v>
      </c>
      <c r="K240" s="720">
        <v>2168.64</v>
      </c>
      <c r="L240" s="720">
        <v>1</v>
      </c>
      <c r="M240" s="720">
        <v>341.51811023622042</v>
      </c>
      <c r="N240" s="720"/>
      <c r="O240" s="720"/>
      <c r="P240" s="745"/>
      <c r="Q240" s="721"/>
    </row>
    <row r="241" spans="1:17" ht="14.45" customHeight="1" x14ac:dyDescent="0.2">
      <c r="A241" s="715" t="s">
        <v>518</v>
      </c>
      <c r="B241" s="716" t="s">
        <v>3028</v>
      </c>
      <c r="C241" s="716" t="s">
        <v>3421</v>
      </c>
      <c r="D241" s="716" t="s">
        <v>3467</v>
      </c>
      <c r="E241" s="716" t="s">
        <v>1822</v>
      </c>
      <c r="F241" s="720">
        <v>1.3000000000000003</v>
      </c>
      <c r="G241" s="720">
        <v>1184.21</v>
      </c>
      <c r="H241" s="720">
        <v>2.6793900038464149</v>
      </c>
      <c r="I241" s="720">
        <v>910.9307692307691</v>
      </c>
      <c r="J241" s="720">
        <v>0.5</v>
      </c>
      <c r="K241" s="720">
        <v>441.97</v>
      </c>
      <c r="L241" s="720">
        <v>1</v>
      </c>
      <c r="M241" s="720">
        <v>883.94</v>
      </c>
      <c r="N241" s="720"/>
      <c r="O241" s="720"/>
      <c r="P241" s="745"/>
      <c r="Q241" s="721"/>
    </row>
    <row r="242" spans="1:17" ht="14.45" customHeight="1" x14ac:dyDescent="0.2">
      <c r="A242" s="715" t="s">
        <v>518</v>
      </c>
      <c r="B242" s="716" t="s">
        <v>3028</v>
      </c>
      <c r="C242" s="716" t="s">
        <v>3421</v>
      </c>
      <c r="D242" s="716" t="s">
        <v>3468</v>
      </c>
      <c r="E242" s="716" t="s">
        <v>1822</v>
      </c>
      <c r="F242" s="720"/>
      <c r="G242" s="720"/>
      <c r="H242" s="720"/>
      <c r="I242" s="720"/>
      <c r="J242" s="720"/>
      <c r="K242" s="720"/>
      <c r="L242" s="720"/>
      <c r="M242" s="720"/>
      <c r="N242" s="720">
        <v>1.6</v>
      </c>
      <c r="O242" s="720">
        <v>598.4</v>
      </c>
      <c r="P242" s="745"/>
      <c r="Q242" s="721">
        <v>373.99999999999994</v>
      </c>
    </row>
    <row r="243" spans="1:17" ht="14.45" customHeight="1" x14ac:dyDescent="0.2">
      <c r="A243" s="715" t="s">
        <v>518</v>
      </c>
      <c r="B243" s="716" t="s">
        <v>3028</v>
      </c>
      <c r="C243" s="716" t="s">
        <v>3421</v>
      </c>
      <c r="D243" s="716" t="s">
        <v>3469</v>
      </c>
      <c r="E243" s="716" t="s">
        <v>3470</v>
      </c>
      <c r="F243" s="720">
        <v>2.5</v>
      </c>
      <c r="G243" s="720">
        <v>1499.5</v>
      </c>
      <c r="H243" s="720">
        <v>3.5714285714285712</v>
      </c>
      <c r="I243" s="720">
        <v>599.79999999999995</v>
      </c>
      <c r="J243" s="720">
        <v>0.7</v>
      </c>
      <c r="K243" s="720">
        <v>419.86</v>
      </c>
      <c r="L243" s="720">
        <v>1</v>
      </c>
      <c r="M243" s="720">
        <v>599.80000000000007</v>
      </c>
      <c r="N243" s="720"/>
      <c r="O243" s="720"/>
      <c r="P243" s="745"/>
      <c r="Q243" s="721"/>
    </row>
    <row r="244" spans="1:17" ht="14.45" customHeight="1" x14ac:dyDescent="0.2">
      <c r="A244" s="715" t="s">
        <v>518</v>
      </c>
      <c r="B244" s="716" t="s">
        <v>3028</v>
      </c>
      <c r="C244" s="716" t="s">
        <v>3421</v>
      </c>
      <c r="D244" s="716" t="s">
        <v>3471</v>
      </c>
      <c r="E244" s="716" t="s">
        <v>3470</v>
      </c>
      <c r="F244" s="720">
        <v>6.6000000000000005</v>
      </c>
      <c r="G244" s="720">
        <v>5278.3</v>
      </c>
      <c r="H244" s="720">
        <v>8.3770572457902848</v>
      </c>
      <c r="I244" s="720">
        <v>799.74242424242425</v>
      </c>
      <c r="J244" s="720">
        <v>1</v>
      </c>
      <c r="K244" s="720">
        <v>630.08999999999992</v>
      </c>
      <c r="L244" s="720">
        <v>1</v>
      </c>
      <c r="M244" s="720">
        <v>630.08999999999992</v>
      </c>
      <c r="N244" s="720"/>
      <c r="O244" s="720"/>
      <c r="P244" s="745"/>
      <c r="Q244" s="721"/>
    </row>
    <row r="245" spans="1:17" ht="14.45" customHeight="1" x14ac:dyDescent="0.2">
      <c r="A245" s="715" t="s">
        <v>518</v>
      </c>
      <c r="B245" s="716" t="s">
        <v>3028</v>
      </c>
      <c r="C245" s="716" t="s">
        <v>3421</v>
      </c>
      <c r="D245" s="716" t="s">
        <v>3472</v>
      </c>
      <c r="E245" s="716" t="s">
        <v>1433</v>
      </c>
      <c r="F245" s="720">
        <v>209.2</v>
      </c>
      <c r="G245" s="720">
        <v>269315.70999999996</v>
      </c>
      <c r="H245" s="720">
        <v>0.69966554664358849</v>
      </c>
      <c r="I245" s="720">
        <v>1287.3599904397704</v>
      </c>
      <c r="J245" s="720">
        <v>299</v>
      </c>
      <c r="K245" s="720">
        <v>384920.64</v>
      </c>
      <c r="L245" s="720">
        <v>1</v>
      </c>
      <c r="M245" s="720">
        <v>1287.3600000000001</v>
      </c>
      <c r="N245" s="720">
        <v>30</v>
      </c>
      <c r="O245" s="720">
        <v>38620.800000000003</v>
      </c>
      <c r="P245" s="745">
        <v>0.10033444816053512</v>
      </c>
      <c r="Q245" s="721">
        <v>1287.3600000000001</v>
      </c>
    </row>
    <row r="246" spans="1:17" ht="14.45" customHeight="1" x14ac:dyDescent="0.2">
      <c r="A246" s="715" t="s">
        <v>518</v>
      </c>
      <c r="B246" s="716" t="s">
        <v>3028</v>
      </c>
      <c r="C246" s="716" t="s">
        <v>3421</v>
      </c>
      <c r="D246" s="716" t="s">
        <v>3473</v>
      </c>
      <c r="E246" s="716" t="s">
        <v>1539</v>
      </c>
      <c r="F246" s="720">
        <v>12.100000000000001</v>
      </c>
      <c r="G246" s="720">
        <v>19745.559999999998</v>
      </c>
      <c r="H246" s="720">
        <v>0.47637734771134255</v>
      </c>
      <c r="I246" s="720">
        <v>1631.8644628099169</v>
      </c>
      <c r="J246" s="720">
        <v>25.4</v>
      </c>
      <c r="K246" s="720">
        <v>41449.409999999996</v>
      </c>
      <c r="L246" s="720">
        <v>1</v>
      </c>
      <c r="M246" s="720">
        <v>1631.8665354330708</v>
      </c>
      <c r="N246" s="720">
        <v>19.899999999999995</v>
      </c>
      <c r="O246" s="720">
        <v>32474.120000000003</v>
      </c>
      <c r="P246" s="745">
        <v>0.7834639865802675</v>
      </c>
      <c r="Q246" s="721">
        <v>1631.8653266331664</v>
      </c>
    </row>
    <row r="247" spans="1:17" ht="14.45" customHeight="1" x14ac:dyDescent="0.2">
      <c r="A247" s="715" t="s">
        <v>518</v>
      </c>
      <c r="B247" s="716" t="s">
        <v>3028</v>
      </c>
      <c r="C247" s="716" t="s">
        <v>3421</v>
      </c>
      <c r="D247" s="716" t="s">
        <v>3474</v>
      </c>
      <c r="E247" s="716" t="s">
        <v>3475</v>
      </c>
      <c r="F247" s="720">
        <v>3.9000000000000004</v>
      </c>
      <c r="G247" s="720">
        <v>1528.02</v>
      </c>
      <c r="H247" s="720">
        <v>13</v>
      </c>
      <c r="I247" s="720">
        <v>391.79999999999995</v>
      </c>
      <c r="J247" s="720">
        <v>0.3</v>
      </c>
      <c r="K247" s="720">
        <v>117.54</v>
      </c>
      <c r="L247" s="720">
        <v>1</v>
      </c>
      <c r="M247" s="720">
        <v>391.8</v>
      </c>
      <c r="N247" s="720"/>
      <c r="O247" s="720"/>
      <c r="P247" s="745"/>
      <c r="Q247" s="721"/>
    </row>
    <row r="248" spans="1:17" ht="14.45" customHeight="1" x14ac:dyDescent="0.2">
      <c r="A248" s="715" t="s">
        <v>518</v>
      </c>
      <c r="B248" s="716" t="s">
        <v>3028</v>
      </c>
      <c r="C248" s="716" t="s">
        <v>3421</v>
      </c>
      <c r="D248" s="716" t="s">
        <v>3476</v>
      </c>
      <c r="E248" s="716" t="s">
        <v>3477</v>
      </c>
      <c r="F248" s="720">
        <v>1.7000000000000002</v>
      </c>
      <c r="G248" s="720">
        <v>1286.0500000000002</v>
      </c>
      <c r="H248" s="720">
        <v>1.0356921391929004</v>
      </c>
      <c r="I248" s="720">
        <v>756.5</v>
      </c>
      <c r="J248" s="720">
        <v>2.1</v>
      </c>
      <c r="K248" s="720">
        <v>1241.73</v>
      </c>
      <c r="L248" s="720">
        <v>1</v>
      </c>
      <c r="M248" s="720">
        <v>591.29999999999995</v>
      </c>
      <c r="N248" s="720"/>
      <c r="O248" s="720"/>
      <c r="P248" s="745"/>
      <c r="Q248" s="721"/>
    </row>
    <row r="249" spans="1:17" ht="14.45" customHeight="1" x14ac:dyDescent="0.2">
      <c r="A249" s="715" t="s">
        <v>518</v>
      </c>
      <c r="B249" s="716" t="s">
        <v>3028</v>
      </c>
      <c r="C249" s="716" t="s">
        <v>3421</v>
      </c>
      <c r="D249" s="716" t="s">
        <v>3478</v>
      </c>
      <c r="E249" s="716" t="s">
        <v>3479</v>
      </c>
      <c r="F249" s="720">
        <v>3.5200000000000005</v>
      </c>
      <c r="G249" s="720">
        <v>1358.8700000000001</v>
      </c>
      <c r="H249" s="720">
        <v>1.5549846660868771</v>
      </c>
      <c r="I249" s="720">
        <v>386.04261363636363</v>
      </c>
      <c r="J249" s="720">
        <v>3.23</v>
      </c>
      <c r="K249" s="720">
        <v>873.88</v>
      </c>
      <c r="L249" s="720">
        <v>1</v>
      </c>
      <c r="M249" s="720">
        <v>270.55108359133129</v>
      </c>
      <c r="N249" s="720">
        <v>2.3000000000000003</v>
      </c>
      <c r="O249" s="720">
        <v>611.89</v>
      </c>
      <c r="P249" s="745">
        <v>0.70019911200622509</v>
      </c>
      <c r="Q249" s="721">
        <v>266.03913043478258</v>
      </c>
    </row>
    <row r="250" spans="1:17" ht="14.45" customHeight="1" x14ac:dyDescent="0.2">
      <c r="A250" s="715" t="s">
        <v>518</v>
      </c>
      <c r="B250" s="716" t="s">
        <v>3028</v>
      </c>
      <c r="C250" s="716" t="s">
        <v>3421</v>
      </c>
      <c r="D250" s="716" t="s">
        <v>3480</v>
      </c>
      <c r="E250" s="716" t="s">
        <v>3479</v>
      </c>
      <c r="F250" s="720">
        <v>41.209999999999994</v>
      </c>
      <c r="G250" s="720">
        <v>31820.07</v>
      </c>
      <c r="H250" s="720">
        <v>1.4427873938202405</v>
      </c>
      <c r="I250" s="720">
        <v>772.14438243144878</v>
      </c>
      <c r="J250" s="720">
        <v>41.7</v>
      </c>
      <c r="K250" s="720">
        <v>22054.58</v>
      </c>
      <c r="L250" s="720">
        <v>1</v>
      </c>
      <c r="M250" s="720">
        <v>528.88681055155871</v>
      </c>
      <c r="N250" s="720">
        <v>36.699999999999996</v>
      </c>
      <c r="O250" s="720">
        <v>18643.710000000003</v>
      </c>
      <c r="P250" s="745">
        <v>0.84534414167034699</v>
      </c>
      <c r="Q250" s="721">
        <v>508.00299727520451</v>
      </c>
    </row>
    <row r="251" spans="1:17" ht="14.45" customHeight="1" x14ac:dyDescent="0.2">
      <c r="A251" s="715" t="s">
        <v>518</v>
      </c>
      <c r="B251" s="716" t="s">
        <v>3028</v>
      </c>
      <c r="C251" s="716" t="s">
        <v>3421</v>
      </c>
      <c r="D251" s="716" t="s">
        <v>3481</v>
      </c>
      <c r="E251" s="716" t="s">
        <v>3482</v>
      </c>
      <c r="F251" s="720">
        <v>6</v>
      </c>
      <c r="G251" s="720">
        <v>4912.68</v>
      </c>
      <c r="H251" s="720"/>
      <c r="I251" s="720">
        <v>818.78000000000009</v>
      </c>
      <c r="J251" s="720"/>
      <c r="K251" s="720"/>
      <c r="L251" s="720"/>
      <c r="M251" s="720"/>
      <c r="N251" s="720"/>
      <c r="O251" s="720"/>
      <c r="P251" s="745"/>
      <c r="Q251" s="721"/>
    </row>
    <row r="252" spans="1:17" ht="14.45" customHeight="1" x14ac:dyDescent="0.2">
      <c r="A252" s="715" t="s">
        <v>518</v>
      </c>
      <c r="B252" s="716" t="s">
        <v>3028</v>
      </c>
      <c r="C252" s="716" t="s">
        <v>3421</v>
      </c>
      <c r="D252" s="716" t="s">
        <v>3483</v>
      </c>
      <c r="E252" s="716" t="s">
        <v>1864</v>
      </c>
      <c r="F252" s="720">
        <v>67.100000000000009</v>
      </c>
      <c r="G252" s="720">
        <v>27485.94</v>
      </c>
      <c r="H252" s="720">
        <v>1.9424472938821891</v>
      </c>
      <c r="I252" s="720">
        <v>409.62652757078979</v>
      </c>
      <c r="J252" s="720">
        <v>58.599999999999994</v>
      </c>
      <c r="K252" s="720">
        <v>14150.160000000002</v>
      </c>
      <c r="L252" s="720">
        <v>1</v>
      </c>
      <c r="M252" s="720">
        <v>241.47030716723555</v>
      </c>
      <c r="N252" s="720">
        <v>75.5</v>
      </c>
      <c r="O252" s="720">
        <v>18364.170000000002</v>
      </c>
      <c r="P252" s="745">
        <v>1.2978065265693108</v>
      </c>
      <c r="Q252" s="721">
        <v>243.23403973509937</v>
      </c>
    </row>
    <row r="253" spans="1:17" ht="14.45" customHeight="1" x14ac:dyDescent="0.2">
      <c r="A253" s="715" t="s">
        <v>518</v>
      </c>
      <c r="B253" s="716" t="s">
        <v>3028</v>
      </c>
      <c r="C253" s="716" t="s">
        <v>3421</v>
      </c>
      <c r="D253" s="716" t="s">
        <v>3484</v>
      </c>
      <c r="E253" s="716" t="s">
        <v>1850</v>
      </c>
      <c r="F253" s="720">
        <v>201</v>
      </c>
      <c r="G253" s="720">
        <v>44059.199999999997</v>
      </c>
      <c r="H253" s="720">
        <v>0.83513530726561946</v>
      </c>
      <c r="I253" s="720">
        <v>219.2</v>
      </c>
      <c r="J253" s="720">
        <v>277.10000000000002</v>
      </c>
      <c r="K253" s="720">
        <v>52756.959999999999</v>
      </c>
      <c r="L253" s="720">
        <v>1</v>
      </c>
      <c r="M253" s="720">
        <v>190.38960664020206</v>
      </c>
      <c r="N253" s="720">
        <v>88.1</v>
      </c>
      <c r="O253" s="720">
        <v>4661.5700000000006</v>
      </c>
      <c r="P253" s="745">
        <v>8.8359336853374437E-2</v>
      </c>
      <c r="Q253" s="721">
        <v>52.912258796821803</v>
      </c>
    </row>
    <row r="254" spans="1:17" ht="14.45" customHeight="1" x14ac:dyDescent="0.2">
      <c r="A254" s="715" t="s">
        <v>518</v>
      </c>
      <c r="B254" s="716" t="s">
        <v>3028</v>
      </c>
      <c r="C254" s="716" t="s">
        <v>3421</v>
      </c>
      <c r="D254" s="716" t="s">
        <v>3485</v>
      </c>
      <c r="E254" s="716" t="s">
        <v>1877</v>
      </c>
      <c r="F254" s="720"/>
      <c r="G254" s="720"/>
      <c r="H254" s="720"/>
      <c r="I254" s="720"/>
      <c r="J254" s="720"/>
      <c r="K254" s="720"/>
      <c r="L254" s="720"/>
      <c r="M254" s="720"/>
      <c r="N254" s="720">
        <v>1</v>
      </c>
      <c r="O254" s="720">
        <v>576.72</v>
      </c>
      <c r="P254" s="745"/>
      <c r="Q254" s="721">
        <v>576.72</v>
      </c>
    </row>
    <row r="255" spans="1:17" ht="14.45" customHeight="1" x14ac:dyDescent="0.2">
      <c r="A255" s="715" t="s">
        <v>518</v>
      </c>
      <c r="B255" s="716" t="s">
        <v>3028</v>
      </c>
      <c r="C255" s="716" t="s">
        <v>3421</v>
      </c>
      <c r="D255" s="716" t="s">
        <v>3486</v>
      </c>
      <c r="E255" s="716" t="s">
        <v>3487</v>
      </c>
      <c r="F255" s="720">
        <v>96</v>
      </c>
      <c r="G255" s="720">
        <v>948163.64</v>
      </c>
      <c r="H255" s="720">
        <v>3.2370888053339106</v>
      </c>
      <c r="I255" s="720">
        <v>9876.7045833333341</v>
      </c>
      <c r="J255" s="720">
        <v>57</v>
      </c>
      <c r="K255" s="720">
        <v>292906.28000000003</v>
      </c>
      <c r="L255" s="720">
        <v>1</v>
      </c>
      <c r="M255" s="720">
        <v>5138.7066666666669</v>
      </c>
      <c r="N255" s="720">
        <v>71</v>
      </c>
      <c r="O255" s="720">
        <v>257730</v>
      </c>
      <c r="P255" s="745">
        <v>0.87990602318256872</v>
      </c>
      <c r="Q255" s="721">
        <v>3630</v>
      </c>
    </row>
    <row r="256" spans="1:17" ht="14.45" customHeight="1" x14ac:dyDescent="0.2">
      <c r="A256" s="715" t="s">
        <v>518</v>
      </c>
      <c r="B256" s="716" t="s">
        <v>3028</v>
      </c>
      <c r="C256" s="716" t="s">
        <v>3421</v>
      </c>
      <c r="D256" s="716" t="s">
        <v>3488</v>
      </c>
      <c r="E256" s="716" t="s">
        <v>1435</v>
      </c>
      <c r="F256" s="720">
        <v>36</v>
      </c>
      <c r="G256" s="720">
        <v>114220.08</v>
      </c>
      <c r="H256" s="720">
        <v>2.1860695675673401</v>
      </c>
      <c r="I256" s="720">
        <v>3172.78</v>
      </c>
      <c r="J256" s="720">
        <v>19</v>
      </c>
      <c r="K256" s="720">
        <v>52249.06</v>
      </c>
      <c r="L256" s="720">
        <v>1</v>
      </c>
      <c r="M256" s="720">
        <v>2749.9505263157894</v>
      </c>
      <c r="N256" s="720">
        <v>6</v>
      </c>
      <c r="O256" s="720">
        <v>17763.900000000001</v>
      </c>
      <c r="P256" s="745">
        <v>0.33998506384612476</v>
      </c>
      <c r="Q256" s="721">
        <v>2960.65</v>
      </c>
    </row>
    <row r="257" spans="1:17" ht="14.45" customHeight="1" x14ac:dyDescent="0.2">
      <c r="A257" s="715" t="s">
        <v>518</v>
      </c>
      <c r="B257" s="716" t="s">
        <v>3028</v>
      </c>
      <c r="C257" s="716" t="s">
        <v>3421</v>
      </c>
      <c r="D257" s="716" t="s">
        <v>3489</v>
      </c>
      <c r="E257" s="716" t="s">
        <v>1864</v>
      </c>
      <c r="F257" s="720">
        <v>30.699999999999996</v>
      </c>
      <c r="G257" s="720">
        <v>24507.309999999998</v>
      </c>
      <c r="H257" s="720">
        <v>0.97735837017274119</v>
      </c>
      <c r="I257" s="720">
        <v>798.28371335504892</v>
      </c>
      <c r="J257" s="720">
        <v>43.699999999999996</v>
      </c>
      <c r="K257" s="720">
        <v>25075.050000000003</v>
      </c>
      <c r="L257" s="720">
        <v>1</v>
      </c>
      <c r="M257" s="720">
        <v>573.79977116704822</v>
      </c>
      <c r="N257" s="720">
        <v>11.2</v>
      </c>
      <c r="O257" s="720">
        <v>4661.869999999999</v>
      </c>
      <c r="P257" s="745">
        <v>0.18591667813224694</v>
      </c>
      <c r="Q257" s="721">
        <v>416.2383928571428</v>
      </c>
    </row>
    <row r="258" spans="1:17" ht="14.45" customHeight="1" x14ac:dyDescent="0.2">
      <c r="A258" s="715" t="s">
        <v>518</v>
      </c>
      <c r="B258" s="716" t="s">
        <v>3028</v>
      </c>
      <c r="C258" s="716" t="s">
        <v>3421</v>
      </c>
      <c r="D258" s="716" t="s">
        <v>3490</v>
      </c>
      <c r="E258" s="716" t="s">
        <v>1435</v>
      </c>
      <c r="F258" s="720">
        <v>23</v>
      </c>
      <c r="G258" s="720">
        <v>145948.10999999999</v>
      </c>
      <c r="H258" s="720">
        <v>1.3529411764705883</v>
      </c>
      <c r="I258" s="720">
        <v>6345.57</v>
      </c>
      <c r="J258" s="720">
        <v>17</v>
      </c>
      <c r="K258" s="720">
        <v>107874.68999999999</v>
      </c>
      <c r="L258" s="720">
        <v>1</v>
      </c>
      <c r="M258" s="720">
        <v>6345.57</v>
      </c>
      <c r="N258" s="720"/>
      <c r="O258" s="720"/>
      <c r="P258" s="745"/>
      <c r="Q258" s="721"/>
    </row>
    <row r="259" spans="1:17" ht="14.45" customHeight="1" x14ac:dyDescent="0.2">
      <c r="A259" s="715" t="s">
        <v>518</v>
      </c>
      <c r="B259" s="716" t="s">
        <v>3028</v>
      </c>
      <c r="C259" s="716" t="s">
        <v>3421</v>
      </c>
      <c r="D259" s="716" t="s">
        <v>3491</v>
      </c>
      <c r="E259" s="716" t="s">
        <v>1464</v>
      </c>
      <c r="F259" s="720"/>
      <c r="G259" s="720"/>
      <c r="H259" s="720"/>
      <c r="I259" s="720"/>
      <c r="J259" s="720"/>
      <c r="K259" s="720"/>
      <c r="L259" s="720"/>
      <c r="M259" s="720"/>
      <c r="N259" s="720">
        <v>58.599999999999994</v>
      </c>
      <c r="O259" s="720">
        <v>24070.93</v>
      </c>
      <c r="P259" s="745"/>
      <c r="Q259" s="721">
        <v>410.76672354948812</v>
      </c>
    </row>
    <row r="260" spans="1:17" ht="14.45" customHeight="1" x14ac:dyDescent="0.2">
      <c r="A260" s="715" t="s">
        <v>518</v>
      </c>
      <c r="B260" s="716" t="s">
        <v>3028</v>
      </c>
      <c r="C260" s="716" t="s">
        <v>3421</v>
      </c>
      <c r="D260" s="716" t="s">
        <v>3492</v>
      </c>
      <c r="E260" s="716" t="s">
        <v>1818</v>
      </c>
      <c r="F260" s="720">
        <v>185</v>
      </c>
      <c r="G260" s="720">
        <v>12163.75</v>
      </c>
      <c r="H260" s="720">
        <v>1.5849174364045973</v>
      </c>
      <c r="I260" s="720">
        <v>65.75</v>
      </c>
      <c r="J260" s="720">
        <v>159</v>
      </c>
      <c r="K260" s="720">
        <v>7674.6900000000005</v>
      </c>
      <c r="L260" s="720">
        <v>1</v>
      </c>
      <c r="M260" s="720">
        <v>48.268490566037741</v>
      </c>
      <c r="N260" s="720">
        <v>178.2</v>
      </c>
      <c r="O260" s="720">
        <v>5955.29</v>
      </c>
      <c r="P260" s="745">
        <v>0.77596489239304778</v>
      </c>
      <c r="Q260" s="721">
        <v>33.419135802469135</v>
      </c>
    </row>
    <row r="261" spans="1:17" ht="14.45" customHeight="1" x14ac:dyDescent="0.2">
      <c r="A261" s="715" t="s">
        <v>518</v>
      </c>
      <c r="B261" s="716" t="s">
        <v>3028</v>
      </c>
      <c r="C261" s="716" t="s">
        <v>3421</v>
      </c>
      <c r="D261" s="716" t="s">
        <v>3493</v>
      </c>
      <c r="E261" s="716"/>
      <c r="F261" s="720"/>
      <c r="G261" s="720"/>
      <c r="H261" s="720"/>
      <c r="I261" s="720"/>
      <c r="J261" s="720"/>
      <c r="K261" s="720"/>
      <c r="L261" s="720"/>
      <c r="M261" s="720"/>
      <c r="N261" s="720">
        <v>0.9</v>
      </c>
      <c r="O261" s="720">
        <v>8980.02</v>
      </c>
      <c r="P261" s="745"/>
      <c r="Q261" s="721">
        <v>9977.8000000000011</v>
      </c>
    </row>
    <row r="262" spans="1:17" ht="14.45" customHeight="1" x14ac:dyDescent="0.2">
      <c r="A262" s="715" t="s">
        <v>518</v>
      </c>
      <c r="B262" s="716" t="s">
        <v>3028</v>
      </c>
      <c r="C262" s="716" t="s">
        <v>3421</v>
      </c>
      <c r="D262" s="716" t="s">
        <v>3493</v>
      </c>
      <c r="E262" s="716" t="s">
        <v>3494</v>
      </c>
      <c r="F262" s="720"/>
      <c r="G262" s="720"/>
      <c r="H262" s="720"/>
      <c r="I262" s="720"/>
      <c r="J262" s="720"/>
      <c r="K262" s="720"/>
      <c r="L262" s="720"/>
      <c r="M262" s="720"/>
      <c r="N262" s="720">
        <v>1.3</v>
      </c>
      <c r="O262" s="720">
        <v>12977.55</v>
      </c>
      <c r="P262" s="745"/>
      <c r="Q262" s="721">
        <v>9982.7307692307677</v>
      </c>
    </row>
    <row r="263" spans="1:17" ht="14.45" customHeight="1" x14ac:dyDescent="0.2">
      <c r="A263" s="715" t="s">
        <v>518</v>
      </c>
      <c r="B263" s="716" t="s">
        <v>3028</v>
      </c>
      <c r="C263" s="716" t="s">
        <v>3421</v>
      </c>
      <c r="D263" s="716" t="s">
        <v>3495</v>
      </c>
      <c r="E263" s="716" t="s">
        <v>1812</v>
      </c>
      <c r="F263" s="720">
        <v>0.1</v>
      </c>
      <c r="G263" s="720">
        <v>19.59</v>
      </c>
      <c r="H263" s="720"/>
      <c r="I263" s="720">
        <v>195.89999999999998</v>
      </c>
      <c r="J263" s="720"/>
      <c r="K263" s="720"/>
      <c r="L263" s="720"/>
      <c r="M263" s="720"/>
      <c r="N263" s="720">
        <v>0.4</v>
      </c>
      <c r="O263" s="720">
        <v>57.47</v>
      </c>
      <c r="P263" s="745"/>
      <c r="Q263" s="721">
        <v>143.67499999999998</v>
      </c>
    </row>
    <row r="264" spans="1:17" ht="14.45" customHeight="1" x14ac:dyDescent="0.2">
      <c r="A264" s="715" t="s">
        <v>518</v>
      </c>
      <c r="B264" s="716" t="s">
        <v>3028</v>
      </c>
      <c r="C264" s="716" t="s">
        <v>3421</v>
      </c>
      <c r="D264" s="716" t="s">
        <v>3496</v>
      </c>
      <c r="E264" s="716" t="s">
        <v>1809</v>
      </c>
      <c r="F264" s="720">
        <v>203.52</v>
      </c>
      <c r="G264" s="720">
        <v>432602.11</v>
      </c>
      <c r="H264" s="720">
        <v>1.7007883268774986</v>
      </c>
      <c r="I264" s="720">
        <v>2125.5999901729556</v>
      </c>
      <c r="J264" s="720">
        <v>207.82999999999998</v>
      </c>
      <c r="K264" s="720">
        <v>254353.87999999998</v>
      </c>
      <c r="L264" s="720">
        <v>1</v>
      </c>
      <c r="M264" s="720">
        <v>1223.8554587884328</v>
      </c>
      <c r="N264" s="720">
        <v>139.09</v>
      </c>
      <c r="O264" s="720">
        <v>63984.84</v>
      </c>
      <c r="P264" s="745">
        <v>0.2515583406866056</v>
      </c>
      <c r="Q264" s="721">
        <v>460.02473218779204</v>
      </c>
    </row>
    <row r="265" spans="1:17" ht="14.45" customHeight="1" x14ac:dyDescent="0.2">
      <c r="A265" s="715" t="s">
        <v>518</v>
      </c>
      <c r="B265" s="716" t="s">
        <v>3028</v>
      </c>
      <c r="C265" s="716" t="s">
        <v>3421</v>
      </c>
      <c r="D265" s="716" t="s">
        <v>3497</v>
      </c>
      <c r="E265" s="716" t="s">
        <v>3498</v>
      </c>
      <c r="F265" s="720">
        <v>9</v>
      </c>
      <c r="G265" s="720">
        <v>89058.69</v>
      </c>
      <c r="H265" s="720">
        <v>0.12754963198038555</v>
      </c>
      <c r="I265" s="720">
        <v>9895.41</v>
      </c>
      <c r="J265" s="720">
        <v>88</v>
      </c>
      <c r="K265" s="720">
        <v>698227.73</v>
      </c>
      <c r="L265" s="720">
        <v>1</v>
      </c>
      <c r="M265" s="720">
        <v>7934.4060227272721</v>
      </c>
      <c r="N265" s="720"/>
      <c r="O265" s="720"/>
      <c r="P265" s="745"/>
      <c r="Q265" s="721"/>
    </row>
    <row r="266" spans="1:17" ht="14.45" customHeight="1" x14ac:dyDescent="0.2">
      <c r="A266" s="715" t="s">
        <v>518</v>
      </c>
      <c r="B266" s="716" t="s">
        <v>3028</v>
      </c>
      <c r="C266" s="716" t="s">
        <v>3421</v>
      </c>
      <c r="D266" s="716" t="s">
        <v>3499</v>
      </c>
      <c r="E266" s="716" t="s">
        <v>1828</v>
      </c>
      <c r="F266" s="720"/>
      <c r="G266" s="720"/>
      <c r="H266" s="720"/>
      <c r="I266" s="720"/>
      <c r="J266" s="720"/>
      <c r="K266" s="720"/>
      <c r="L266" s="720"/>
      <c r="M266" s="720"/>
      <c r="N266" s="720">
        <v>10.549999999999999</v>
      </c>
      <c r="O266" s="720">
        <v>11820.359999999999</v>
      </c>
      <c r="P266" s="745"/>
      <c r="Q266" s="721">
        <v>1120.4132701421802</v>
      </c>
    </row>
    <row r="267" spans="1:17" ht="14.45" customHeight="1" x14ac:dyDescent="0.2">
      <c r="A267" s="715" t="s">
        <v>518</v>
      </c>
      <c r="B267" s="716" t="s">
        <v>3028</v>
      </c>
      <c r="C267" s="716" t="s">
        <v>3421</v>
      </c>
      <c r="D267" s="716" t="s">
        <v>3500</v>
      </c>
      <c r="E267" s="716" t="s">
        <v>3475</v>
      </c>
      <c r="F267" s="720">
        <v>0.5</v>
      </c>
      <c r="G267" s="720">
        <v>97.95</v>
      </c>
      <c r="H267" s="720"/>
      <c r="I267" s="720">
        <v>195.9</v>
      </c>
      <c r="J267" s="720"/>
      <c r="K267" s="720"/>
      <c r="L267" s="720"/>
      <c r="M267" s="720"/>
      <c r="N267" s="720"/>
      <c r="O267" s="720"/>
      <c r="P267" s="745"/>
      <c r="Q267" s="721"/>
    </row>
    <row r="268" spans="1:17" ht="14.45" customHeight="1" x14ac:dyDescent="0.2">
      <c r="A268" s="715" t="s">
        <v>518</v>
      </c>
      <c r="B268" s="716" t="s">
        <v>3028</v>
      </c>
      <c r="C268" s="716" t="s">
        <v>3421</v>
      </c>
      <c r="D268" s="716" t="s">
        <v>3501</v>
      </c>
      <c r="E268" s="716" t="s">
        <v>1837</v>
      </c>
      <c r="F268" s="720">
        <v>4.4000000000000004</v>
      </c>
      <c r="G268" s="720">
        <v>1761.76</v>
      </c>
      <c r="H268" s="720">
        <v>6.7294117647058824</v>
      </c>
      <c r="I268" s="720">
        <v>400.4</v>
      </c>
      <c r="J268" s="720">
        <v>1.7</v>
      </c>
      <c r="K268" s="720">
        <v>261.8</v>
      </c>
      <c r="L268" s="720">
        <v>1</v>
      </c>
      <c r="M268" s="720">
        <v>154</v>
      </c>
      <c r="N268" s="720">
        <v>12.299999999999999</v>
      </c>
      <c r="O268" s="720">
        <v>1888.0900000000004</v>
      </c>
      <c r="P268" s="745">
        <v>7.2119556913674572</v>
      </c>
      <c r="Q268" s="721">
        <v>153.50325203252038</v>
      </c>
    </row>
    <row r="269" spans="1:17" ht="14.45" customHeight="1" x14ac:dyDescent="0.2">
      <c r="A269" s="715" t="s">
        <v>518</v>
      </c>
      <c r="B269" s="716" t="s">
        <v>3028</v>
      </c>
      <c r="C269" s="716" t="s">
        <v>3421</v>
      </c>
      <c r="D269" s="716" t="s">
        <v>3502</v>
      </c>
      <c r="E269" s="716" t="s">
        <v>1837</v>
      </c>
      <c r="F269" s="720">
        <v>23.4</v>
      </c>
      <c r="G269" s="720">
        <v>18738.72</v>
      </c>
      <c r="H269" s="720">
        <v>1.3109096963574649</v>
      </c>
      <c r="I269" s="720">
        <v>800.80000000000007</v>
      </c>
      <c r="J269" s="720">
        <v>22.299999999999997</v>
      </c>
      <c r="K269" s="720">
        <v>14294.44</v>
      </c>
      <c r="L269" s="720">
        <v>1</v>
      </c>
      <c r="M269" s="720">
        <v>641.00627802690599</v>
      </c>
      <c r="N269" s="720">
        <v>28.400000000000009</v>
      </c>
      <c r="O269" s="720">
        <v>7491.76</v>
      </c>
      <c r="P269" s="745">
        <v>0.52410307784005528</v>
      </c>
      <c r="Q269" s="721">
        <v>263.79436619718302</v>
      </c>
    </row>
    <row r="270" spans="1:17" ht="14.45" customHeight="1" x14ac:dyDescent="0.2">
      <c r="A270" s="715" t="s">
        <v>518</v>
      </c>
      <c r="B270" s="716" t="s">
        <v>3028</v>
      </c>
      <c r="C270" s="716" t="s">
        <v>3421</v>
      </c>
      <c r="D270" s="716" t="s">
        <v>3503</v>
      </c>
      <c r="E270" s="716" t="s">
        <v>1825</v>
      </c>
      <c r="F270" s="720"/>
      <c r="G270" s="720"/>
      <c r="H270" s="720"/>
      <c r="I270" s="720"/>
      <c r="J270" s="720"/>
      <c r="K270" s="720"/>
      <c r="L270" s="720"/>
      <c r="M270" s="720"/>
      <c r="N270" s="720">
        <v>0.1</v>
      </c>
      <c r="O270" s="720">
        <v>14.02</v>
      </c>
      <c r="P270" s="745"/>
      <c r="Q270" s="721">
        <v>140.19999999999999</v>
      </c>
    </row>
    <row r="271" spans="1:17" ht="14.45" customHeight="1" x14ac:dyDescent="0.2">
      <c r="A271" s="715" t="s">
        <v>518</v>
      </c>
      <c r="B271" s="716" t="s">
        <v>3028</v>
      </c>
      <c r="C271" s="716" t="s">
        <v>3421</v>
      </c>
      <c r="D271" s="716" t="s">
        <v>3504</v>
      </c>
      <c r="E271" s="716" t="s">
        <v>1850</v>
      </c>
      <c r="F271" s="720">
        <v>47</v>
      </c>
      <c r="G271" s="720">
        <v>6385.0999999999995</v>
      </c>
      <c r="H271" s="720">
        <v>1.1682682455575397</v>
      </c>
      <c r="I271" s="720">
        <v>135.85319148936168</v>
      </c>
      <c r="J271" s="720">
        <v>42.1</v>
      </c>
      <c r="K271" s="720">
        <v>5465.44</v>
      </c>
      <c r="L271" s="720">
        <v>1</v>
      </c>
      <c r="M271" s="720">
        <v>129.82042755344418</v>
      </c>
      <c r="N271" s="720">
        <v>21</v>
      </c>
      <c r="O271" s="720">
        <v>701.19999999999993</v>
      </c>
      <c r="P271" s="745">
        <v>0.12829708129629086</v>
      </c>
      <c r="Q271" s="721">
        <v>33.390476190476186</v>
      </c>
    </row>
    <row r="272" spans="1:17" ht="14.45" customHeight="1" x14ac:dyDescent="0.2">
      <c r="A272" s="715" t="s">
        <v>518</v>
      </c>
      <c r="B272" s="716" t="s">
        <v>3028</v>
      </c>
      <c r="C272" s="716" t="s">
        <v>3421</v>
      </c>
      <c r="D272" s="716" t="s">
        <v>3505</v>
      </c>
      <c r="E272" s="716" t="s">
        <v>3506</v>
      </c>
      <c r="F272" s="720">
        <v>33.81</v>
      </c>
      <c r="G272" s="720">
        <v>11204.630000000001</v>
      </c>
      <c r="H272" s="720">
        <v>2.1983872075342132</v>
      </c>
      <c r="I272" s="720">
        <v>331.39988169180714</v>
      </c>
      <c r="J272" s="720">
        <v>23.1</v>
      </c>
      <c r="K272" s="720">
        <v>5096.75</v>
      </c>
      <c r="L272" s="720">
        <v>1</v>
      </c>
      <c r="M272" s="720">
        <v>220.63852813852813</v>
      </c>
      <c r="N272" s="720">
        <v>26.9</v>
      </c>
      <c r="O272" s="720">
        <v>3613.9400000000005</v>
      </c>
      <c r="P272" s="745">
        <v>0.70906754304213482</v>
      </c>
      <c r="Q272" s="721">
        <v>134.34721189591082</v>
      </c>
    </row>
    <row r="273" spans="1:17" ht="14.45" customHeight="1" x14ac:dyDescent="0.2">
      <c r="A273" s="715" t="s">
        <v>518</v>
      </c>
      <c r="B273" s="716" t="s">
        <v>3028</v>
      </c>
      <c r="C273" s="716" t="s">
        <v>3421</v>
      </c>
      <c r="D273" s="716" t="s">
        <v>3507</v>
      </c>
      <c r="E273" s="716" t="s">
        <v>3508</v>
      </c>
      <c r="F273" s="720">
        <v>16</v>
      </c>
      <c r="G273" s="720">
        <v>69038.559999999998</v>
      </c>
      <c r="H273" s="720"/>
      <c r="I273" s="720">
        <v>4314.91</v>
      </c>
      <c r="J273" s="720"/>
      <c r="K273" s="720"/>
      <c r="L273" s="720"/>
      <c r="M273" s="720"/>
      <c r="N273" s="720"/>
      <c r="O273" s="720"/>
      <c r="P273" s="745"/>
      <c r="Q273" s="721"/>
    </row>
    <row r="274" spans="1:17" ht="14.45" customHeight="1" x14ac:dyDescent="0.2">
      <c r="A274" s="715" t="s">
        <v>518</v>
      </c>
      <c r="B274" s="716" t="s">
        <v>3028</v>
      </c>
      <c r="C274" s="716" t="s">
        <v>3421</v>
      </c>
      <c r="D274" s="716" t="s">
        <v>3509</v>
      </c>
      <c r="E274" s="716" t="s">
        <v>3510</v>
      </c>
      <c r="F274" s="720"/>
      <c r="G274" s="720"/>
      <c r="H274" s="720"/>
      <c r="I274" s="720"/>
      <c r="J274" s="720">
        <v>54</v>
      </c>
      <c r="K274" s="720">
        <v>8648.64</v>
      </c>
      <c r="L274" s="720">
        <v>1</v>
      </c>
      <c r="M274" s="720">
        <v>160.16</v>
      </c>
      <c r="N274" s="720"/>
      <c r="O274" s="720"/>
      <c r="P274" s="745"/>
      <c r="Q274" s="721"/>
    </row>
    <row r="275" spans="1:17" ht="14.45" customHeight="1" x14ac:dyDescent="0.2">
      <c r="A275" s="715" t="s">
        <v>518</v>
      </c>
      <c r="B275" s="716" t="s">
        <v>3028</v>
      </c>
      <c r="C275" s="716" t="s">
        <v>3421</v>
      </c>
      <c r="D275" s="716" t="s">
        <v>3511</v>
      </c>
      <c r="E275" s="716" t="s">
        <v>1843</v>
      </c>
      <c r="F275" s="720">
        <v>17.3</v>
      </c>
      <c r="G275" s="720">
        <v>13664.41</v>
      </c>
      <c r="H275" s="720">
        <v>0.90016528446517063</v>
      </c>
      <c r="I275" s="720">
        <v>789.85028901734097</v>
      </c>
      <c r="J275" s="720">
        <v>23.1</v>
      </c>
      <c r="K275" s="720">
        <v>15179.890000000001</v>
      </c>
      <c r="L275" s="720">
        <v>1</v>
      </c>
      <c r="M275" s="720">
        <v>657.13809523809527</v>
      </c>
      <c r="N275" s="720">
        <v>12.8</v>
      </c>
      <c r="O275" s="720">
        <v>8371.2900000000009</v>
      </c>
      <c r="P275" s="745">
        <v>0.55147237562327533</v>
      </c>
      <c r="Q275" s="721">
        <v>654.00703125000007</v>
      </c>
    </row>
    <row r="276" spans="1:17" ht="14.45" customHeight="1" x14ac:dyDescent="0.2">
      <c r="A276" s="715" t="s">
        <v>518</v>
      </c>
      <c r="B276" s="716" t="s">
        <v>3028</v>
      </c>
      <c r="C276" s="716" t="s">
        <v>3421</v>
      </c>
      <c r="D276" s="716" t="s">
        <v>3512</v>
      </c>
      <c r="E276" s="716" t="s">
        <v>1831</v>
      </c>
      <c r="F276" s="720">
        <v>134.20000000000002</v>
      </c>
      <c r="G276" s="720">
        <v>437994.30000000005</v>
      </c>
      <c r="H276" s="720">
        <v>1.4242011737001119</v>
      </c>
      <c r="I276" s="720">
        <v>3263.7429210134128</v>
      </c>
      <c r="J276" s="720">
        <v>158.90000000000003</v>
      </c>
      <c r="K276" s="720">
        <v>307536.82</v>
      </c>
      <c r="L276" s="720">
        <v>1</v>
      </c>
      <c r="M276" s="720">
        <v>1935.4110761485208</v>
      </c>
      <c r="N276" s="720">
        <v>63.100000000000009</v>
      </c>
      <c r="O276" s="720">
        <v>79039.840000000011</v>
      </c>
      <c r="P276" s="745">
        <v>0.25700935582282475</v>
      </c>
      <c r="Q276" s="721">
        <v>1252.6123613312202</v>
      </c>
    </row>
    <row r="277" spans="1:17" ht="14.45" customHeight="1" x14ac:dyDescent="0.2">
      <c r="A277" s="715" t="s">
        <v>518</v>
      </c>
      <c r="B277" s="716" t="s">
        <v>3028</v>
      </c>
      <c r="C277" s="716" t="s">
        <v>3421</v>
      </c>
      <c r="D277" s="716" t="s">
        <v>3513</v>
      </c>
      <c r="E277" s="716" t="s">
        <v>3514</v>
      </c>
      <c r="F277" s="720">
        <v>7.11</v>
      </c>
      <c r="G277" s="720">
        <v>2748.73</v>
      </c>
      <c r="H277" s="720">
        <v>1.8172460299620516</v>
      </c>
      <c r="I277" s="720">
        <v>386.60056258790434</v>
      </c>
      <c r="J277" s="720">
        <v>4.7</v>
      </c>
      <c r="K277" s="720">
        <v>1512.58</v>
      </c>
      <c r="L277" s="720">
        <v>1</v>
      </c>
      <c r="M277" s="720">
        <v>321.82553191489359</v>
      </c>
      <c r="N277" s="720"/>
      <c r="O277" s="720"/>
      <c r="P277" s="745"/>
      <c r="Q277" s="721"/>
    </row>
    <row r="278" spans="1:17" ht="14.45" customHeight="1" x14ac:dyDescent="0.2">
      <c r="A278" s="715" t="s">
        <v>518</v>
      </c>
      <c r="B278" s="716" t="s">
        <v>3028</v>
      </c>
      <c r="C278" s="716" t="s">
        <v>3421</v>
      </c>
      <c r="D278" s="716" t="s">
        <v>3515</v>
      </c>
      <c r="E278" s="716" t="s">
        <v>3516</v>
      </c>
      <c r="F278" s="720"/>
      <c r="G278" s="720"/>
      <c r="H278" s="720"/>
      <c r="I278" s="720"/>
      <c r="J278" s="720">
        <v>10</v>
      </c>
      <c r="K278" s="720">
        <v>23337</v>
      </c>
      <c r="L278" s="720">
        <v>1</v>
      </c>
      <c r="M278" s="720">
        <v>2333.6999999999998</v>
      </c>
      <c r="N278" s="720"/>
      <c r="O278" s="720"/>
      <c r="P278" s="745"/>
      <c r="Q278" s="721"/>
    </row>
    <row r="279" spans="1:17" ht="14.45" customHeight="1" x14ac:dyDescent="0.2">
      <c r="A279" s="715" t="s">
        <v>518</v>
      </c>
      <c r="B279" s="716" t="s">
        <v>3028</v>
      </c>
      <c r="C279" s="716" t="s">
        <v>3421</v>
      </c>
      <c r="D279" s="716" t="s">
        <v>3517</v>
      </c>
      <c r="E279" s="716" t="s">
        <v>3518</v>
      </c>
      <c r="F279" s="720"/>
      <c r="G279" s="720"/>
      <c r="H279" s="720"/>
      <c r="I279" s="720"/>
      <c r="J279" s="720">
        <v>44</v>
      </c>
      <c r="K279" s="720">
        <v>17732.12</v>
      </c>
      <c r="L279" s="720">
        <v>1</v>
      </c>
      <c r="M279" s="720">
        <v>403.00272727272727</v>
      </c>
      <c r="N279" s="720"/>
      <c r="O279" s="720"/>
      <c r="P279" s="745"/>
      <c r="Q279" s="721"/>
    </row>
    <row r="280" spans="1:17" ht="14.45" customHeight="1" x14ac:dyDescent="0.2">
      <c r="A280" s="715" t="s">
        <v>518</v>
      </c>
      <c r="B280" s="716" t="s">
        <v>3028</v>
      </c>
      <c r="C280" s="716" t="s">
        <v>3421</v>
      </c>
      <c r="D280" s="716" t="s">
        <v>3519</v>
      </c>
      <c r="E280" s="716" t="s">
        <v>3520</v>
      </c>
      <c r="F280" s="720">
        <v>35</v>
      </c>
      <c r="G280" s="720">
        <v>302044.05</v>
      </c>
      <c r="H280" s="720"/>
      <c r="I280" s="720">
        <v>8629.83</v>
      </c>
      <c r="J280" s="720"/>
      <c r="K280" s="720"/>
      <c r="L280" s="720"/>
      <c r="M280" s="720"/>
      <c r="N280" s="720"/>
      <c r="O280" s="720"/>
      <c r="P280" s="745"/>
      <c r="Q280" s="721"/>
    </row>
    <row r="281" spans="1:17" ht="14.45" customHeight="1" x14ac:dyDescent="0.2">
      <c r="A281" s="715" t="s">
        <v>518</v>
      </c>
      <c r="B281" s="716" t="s">
        <v>3028</v>
      </c>
      <c r="C281" s="716" t="s">
        <v>3421</v>
      </c>
      <c r="D281" s="716" t="s">
        <v>3521</v>
      </c>
      <c r="E281" s="716" t="s">
        <v>3522</v>
      </c>
      <c r="F281" s="720">
        <v>3</v>
      </c>
      <c r="G281" s="720">
        <v>38262.33</v>
      </c>
      <c r="H281" s="720"/>
      <c r="I281" s="720">
        <v>12754.11</v>
      </c>
      <c r="J281" s="720"/>
      <c r="K281" s="720"/>
      <c r="L281" s="720"/>
      <c r="M281" s="720"/>
      <c r="N281" s="720"/>
      <c r="O281" s="720"/>
      <c r="P281" s="745"/>
      <c r="Q281" s="721"/>
    </row>
    <row r="282" spans="1:17" ht="14.45" customHeight="1" x14ac:dyDescent="0.2">
      <c r="A282" s="715" t="s">
        <v>518</v>
      </c>
      <c r="B282" s="716" t="s">
        <v>3028</v>
      </c>
      <c r="C282" s="716" t="s">
        <v>3421</v>
      </c>
      <c r="D282" s="716" t="s">
        <v>3523</v>
      </c>
      <c r="E282" s="716" t="s">
        <v>3524</v>
      </c>
      <c r="F282" s="720">
        <v>1</v>
      </c>
      <c r="G282" s="720">
        <v>12551.49</v>
      </c>
      <c r="H282" s="720"/>
      <c r="I282" s="720">
        <v>12551.49</v>
      </c>
      <c r="J282" s="720"/>
      <c r="K282" s="720"/>
      <c r="L282" s="720"/>
      <c r="M282" s="720"/>
      <c r="N282" s="720"/>
      <c r="O282" s="720"/>
      <c r="P282" s="745"/>
      <c r="Q282" s="721"/>
    </row>
    <row r="283" spans="1:17" ht="14.45" customHeight="1" x14ac:dyDescent="0.2">
      <c r="A283" s="715" t="s">
        <v>518</v>
      </c>
      <c r="B283" s="716" t="s">
        <v>3028</v>
      </c>
      <c r="C283" s="716" t="s">
        <v>3421</v>
      </c>
      <c r="D283" s="716" t="s">
        <v>3525</v>
      </c>
      <c r="E283" s="716" t="s">
        <v>3526</v>
      </c>
      <c r="F283" s="720"/>
      <c r="G283" s="720"/>
      <c r="H283" s="720"/>
      <c r="I283" s="720"/>
      <c r="J283" s="720">
        <v>3</v>
      </c>
      <c r="K283" s="720">
        <v>19391.88</v>
      </c>
      <c r="L283" s="720">
        <v>1</v>
      </c>
      <c r="M283" s="720">
        <v>6463.96</v>
      </c>
      <c r="N283" s="720"/>
      <c r="O283" s="720"/>
      <c r="P283" s="745"/>
      <c r="Q283" s="721"/>
    </row>
    <row r="284" spans="1:17" ht="14.45" customHeight="1" x14ac:dyDescent="0.2">
      <c r="A284" s="715" t="s">
        <v>518</v>
      </c>
      <c r="B284" s="716" t="s">
        <v>3028</v>
      </c>
      <c r="C284" s="716" t="s">
        <v>3421</v>
      </c>
      <c r="D284" s="716" t="s">
        <v>3527</v>
      </c>
      <c r="E284" s="716" t="s">
        <v>3508</v>
      </c>
      <c r="F284" s="720">
        <v>3</v>
      </c>
      <c r="G284" s="720">
        <v>12944.73</v>
      </c>
      <c r="H284" s="720"/>
      <c r="I284" s="720">
        <v>4314.91</v>
      </c>
      <c r="J284" s="720"/>
      <c r="K284" s="720"/>
      <c r="L284" s="720"/>
      <c r="M284" s="720"/>
      <c r="N284" s="720"/>
      <c r="O284" s="720"/>
      <c r="P284" s="745"/>
      <c r="Q284" s="721"/>
    </row>
    <row r="285" spans="1:17" ht="14.45" customHeight="1" x14ac:dyDescent="0.2">
      <c r="A285" s="715" t="s">
        <v>518</v>
      </c>
      <c r="B285" s="716" t="s">
        <v>3028</v>
      </c>
      <c r="C285" s="716" t="s">
        <v>3421</v>
      </c>
      <c r="D285" s="716" t="s">
        <v>3528</v>
      </c>
      <c r="E285" s="716" t="s">
        <v>3522</v>
      </c>
      <c r="F285" s="720">
        <v>6</v>
      </c>
      <c r="G285" s="720">
        <v>38262.36</v>
      </c>
      <c r="H285" s="720"/>
      <c r="I285" s="720">
        <v>6377.06</v>
      </c>
      <c r="J285" s="720"/>
      <c r="K285" s="720"/>
      <c r="L285" s="720"/>
      <c r="M285" s="720"/>
      <c r="N285" s="720"/>
      <c r="O285" s="720"/>
      <c r="P285" s="745"/>
      <c r="Q285" s="721"/>
    </row>
    <row r="286" spans="1:17" ht="14.45" customHeight="1" x14ac:dyDescent="0.2">
      <c r="A286" s="715" t="s">
        <v>518</v>
      </c>
      <c r="B286" s="716" t="s">
        <v>3028</v>
      </c>
      <c r="C286" s="716" t="s">
        <v>3421</v>
      </c>
      <c r="D286" s="716" t="s">
        <v>3529</v>
      </c>
      <c r="E286" s="716" t="s">
        <v>1447</v>
      </c>
      <c r="F286" s="720">
        <v>5</v>
      </c>
      <c r="G286" s="720">
        <v>49620</v>
      </c>
      <c r="H286" s="720">
        <v>0.27777777777777779</v>
      </c>
      <c r="I286" s="720">
        <v>9924</v>
      </c>
      <c r="J286" s="720">
        <v>18</v>
      </c>
      <c r="K286" s="720">
        <v>178632</v>
      </c>
      <c r="L286" s="720">
        <v>1</v>
      </c>
      <c r="M286" s="720">
        <v>9924</v>
      </c>
      <c r="N286" s="720">
        <v>1</v>
      </c>
      <c r="O286" s="720">
        <v>9276.36</v>
      </c>
      <c r="P286" s="745">
        <v>5.1930001343544273E-2</v>
      </c>
      <c r="Q286" s="721">
        <v>9276.36</v>
      </c>
    </row>
    <row r="287" spans="1:17" ht="14.45" customHeight="1" x14ac:dyDescent="0.2">
      <c r="A287" s="715" t="s">
        <v>518</v>
      </c>
      <c r="B287" s="716" t="s">
        <v>3028</v>
      </c>
      <c r="C287" s="716" t="s">
        <v>3421</v>
      </c>
      <c r="D287" s="716" t="s">
        <v>3530</v>
      </c>
      <c r="E287" s="716" t="s">
        <v>3531</v>
      </c>
      <c r="F287" s="720">
        <v>3.4</v>
      </c>
      <c r="G287" s="720">
        <v>75225.259999999995</v>
      </c>
      <c r="H287" s="720">
        <v>2.137644810904693</v>
      </c>
      <c r="I287" s="720">
        <v>22125.076470588236</v>
      </c>
      <c r="J287" s="720">
        <v>1.6</v>
      </c>
      <c r="K287" s="720">
        <v>35190.720000000001</v>
      </c>
      <c r="L287" s="720">
        <v>1</v>
      </c>
      <c r="M287" s="720">
        <v>21994.2</v>
      </c>
      <c r="N287" s="720"/>
      <c r="O287" s="720"/>
      <c r="P287" s="745"/>
      <c r="Q287" s="721"/>
    </row>
    <row r="288" spans="1:17" ht="14.45" customHeight="1" x14ac:dyDescent="0.2">
      <c r="A288" s="715" t="s">
        <v>518</v>
      </c>
      <c r="B288" s="716" t="s">
        <v>3028</v>
      </c>
      <c r="C288" s="716" t="s">
        <v>3421</v>
      </c>
      <c r="D288" s="716" t="s">
        <v>3532</v>
      </c>
      <c r="E288" s="716" t="s">
        <v>1562</v>
      </c>
      <c r="F288" s="720"/>
      <c r="G288" s="720"/>
      <c r="H288" s="720"/>
      <c r="I288" s="720"/>
      <c r="J288" s="720"/>
      <c r="K288" s="720"/>
      <c r="L288" s="720"/>
      <c r="M288" s="720"/>
      <c r="N288" s="720">
        <v>45</v>
      </c>
      <c r="O288" s="720">
        <v>12490.869999999999</v>
      </c>
      <c r="P288" s="745"/>
      <c r="Q288" s="721">
        <v>277.57488888888889</v>
      </c>
    </row>
    <row r="289" spans="1:17" ht="14.45" customHeight="1" x14ac:dyDescent="0.2">
      <c r="A289" s="715" t="s">
        <v>518</v>
      </c>
      <c r="B289" s="716" t="s">
        <v>3028</v>
      </c>
      <c r="C289" s="716" t="s">
        <v>3421</v>
      </c>
      <c r="D289" s="716" t="s">
        <v>3533</v>
      </c>
      <c r="E289" s="716" t="s">
        <v>1440</v>
      </c>
      <c r="F289" s="720"/>
      <c r="G289" s="720"/>
      <c r="H289" s="720"/>
      <c r="I289" s="720"/>
      <c r="J289" s="720"/>
      <c r="K289" s="720"/>
      <c r="L289" s="720"/>
      <c r="M289" s="720"/>
      <c r="N289" s="720">
        <v>1</v>
      </c>
      <c r="O289" s="720">
        <v>11420.87</v>
      </c>
      <c r="P289" s="745"/>
      <c r="Q289" s="721">
        <v>11420.87</v>
      </c>
    </row>
    <row r="290" spans="1:17" ht="14.45" customHeight="1" x14ac:dyDescent="0.2">
      <c r="A290" s="715" t="s">
        <v>518</v>
      </c>
      <c r="B290" s="716" t="s">
        <v>3028</v>
      </c>
      <c r="C290" s="716" t="s">
        <v>3421</v>
      </c>
      <c r="D290" s="716" t="s">
        <v>3534</v>
      </c>
      <c r="E290" s="716" t="s">
        <v>3535</v>
      </c>
      <c r="F290" s="720"/>
      <c r="G290" s="720"/>
      <c r="H290" s="720"/>
      <c r="I290" s="720"/>
      <c r="J290" s="720">
        <v>1</v>
      </c>
      <c r="K290" s="720">
        <v>6812.08</v>
      </c>
      <c r="L290" s="720">
        <v>1</v>
      </c>
      <c r="M290" s="720">
        <v>6812.08</v>
      </c>
      <c r="N290" s="720"/>
      <c r="O290" s="720"/>
      <c r="P290" s="745"/>
      <c r="Q290" s="721"/>
    </row>
    <row r="291" spans="1:17" ht="14.45" customHeight="1" x14ac:dyDescent="0.2">
      <c r="A291" s="715" t="s">
        <v>518</v>
      </c>
      <c r="B291" s="716" t="s">
        <v>3028</v>
      </c>
      <c r="C291" s="716" t="s">
        <v>3421</v>
      </c>
      <c r="D291" s="716" t="s">
        <v>3536</v>
      </c>
      <c r="E291" s="716" t="s">
        <v>3537</v>
      </c>
      <c r="F291" s="720">
        <v>13</v>
      </c>
      <c r="G291" s="720">
        <v>2737.41</v>
      </c>
      <c r="H291" s="720"/>
      <c r="I291" s="720">
        <v>210.57</v>
      </c>
      <c r="J291" s="720"/>
      <c r="K291" s="720"/>
      <c r="L291" s="720"/>
      <c r="M291" s="720"/>
      <c r="N291" s="720"/>
      <c r="O291" s="720"/>
      <c r="P291" s="745"/>
      <c r="Q291" s="721"/>
    </row>
    <row r="292" spans="1:17" ht="14.45" customHeight="1" x14ac:dyDescent="0.2">
      <c r="A292" s="715" t="s">
        <v>518</v>
      </c>
      <c r="B292" s="716" t="s">
        <v>3028</v>
      </c>
      <c r="C292" s="716" t="s">
        <v>3421</v>
      </c>
      <c r="D292" s="716" t="s">
        <v>3538</v>
      </c>
      <c r="E292" s="716" t="s">
        <v>3539</v>
      </c>
      <c r="F292" s="720"/>
      <c r="G292" s="720"/>
      <c r="H292" s="720"/>
      <c r="I292" s="720"/>
      <c r="J292" s="720">
        <v>3</v>
      </c>
      <c r="K292" s="720">
        <v>6705</v>
      </c>
      <c r="L292" s="720">
        <v>1</v>
      </c>
      <c r="M292" s="720">
        <v>2235</v>
      </c>
      <c r="N292" s="720"/>
      <c r="O292" s="720"/>
      <c r="P292" s="745"/>
      <c r="Q292" s="721"/>
    </row>
    <row r="293" spans="1:17" ht="14.45" customHeight="1" x14ac:dyDescent="0.2">
      <c r="A293" s="715" t="s">
        <v>518</v>
      </c>
      <c r="B293" s="716" t="s">
        <v>3028</v>
      </c>
      <c r="C293" s="716" t="s">
        <v>3421</v>
      </c>
      <c r="D293" s="716" t="s">
        <v>3540</v>
      </c>
      <c r="E293" s="716" t="s">
        <v>3541</v>
      </c>
      <c r="F293" s="720"/>
      <c r="G293" s="720"/>
      <c r="H293" s="720"/>
      <c r="I293" s="720"/>
      <c r="J293" s="720"/>
      <c r="K293" s="720"/>
      <c r="L293" s="720"/>
      <c r="M293" s="720"/>
      <c r="N293" s="720">
        <v>0.55000000000000004</v>
      </c>
      <c r="O293" s="720">
        <v>15931.03</v>
      </c>
      <c r="P293" s="745"/>
      <c r="Q293" s="721">
        <v>28965.50909090909</v>
      </c>
    </row>
    <row r="294" spans="1:17" ht="14.45" customHeight="1" x14ac:dyDescent="0.2">
      <c r="A294" s="715" t="s">
        <v>518</v>
      </c>
      <c r="B294" s="716" t="s">
        <v>3028</v>
      </c>
      <c r="C294" s="716" t="s">
        <v>3421</v>
      </c>
      <c r="D294" s="716" t="s">
        <v>3542</v>
      </c>
      <c r="E294" s="716" t="s">
        <v>3543</v>
      </c>
      <c r="F294" s="720"/>
      <c r="G294" s="720"/>
      <c r="H294" s="720"/>
      <c r="I294" s="720"/>
      <c r="J294" s="720"/>
      <c r="K294" s="720"/>
      <c r="L294" s="720"/>
      <c r="M294" s="720"/>
      <c r="N294" s="720">
        <v>0.1</v>
      </c>
      <c r="O294" s="720">
        <v>163.95</v>
      </c>
      <c r="P294" s="745"/>
      <c r="Q294" s="721">
        <v>1639.4999999999998</v>
      </c>
    </row>
    <row r="295" spans="1:17" ht="14.45" customHeight="1" x14ac:dyDescent="0.2">
      <c r="A295" s="715" t="s">
        <v>518</v>
      </c>
      <c r="B295" s="716" t="s">
        <v>3028</v>
      </c>
      <c r="C295" s="716" t="s">
        <v>3421</v>
      </c>
      <c r="D295" s="716" t="s">
        <v>3544</v>
      </c>
      <c r="E295" s="716" t="s">
        <v>1440</v>
      </c>
      <c r="F295" s="720"/>
      <c r="G295" s="720"/>
      <c r="H295" s="720"/>
      <c r="I295" s="720"/>
      <c r="J295" s="720"/>
      <c r="K295" s="720"/>
      <c r="L295" s="720"/>
      <c r="M295" s="720"/>
      <c r="N295" s="720">
        <v>2</v>
      </c>
      <c r="O295" s="720">
        <v>11420.86</v>
      </c>
      <c r="P295" s="745"/>
      <c r="Q295" s="721">
        <v>5710.43</v>
      </c>
    </row>
    <row r="296" spans="1:17" ht="14.45" customHeight="1" x14ac:dyDescent="0.2">
      <c r="A296" s="715" t="s">
        <v>518</v>
      </c>
      <c r="B296" s="716" t="s">
        <v>3028</v>
      </c>
      <c r="C296" s="716" t="s">
        <v>3421</v>
      </c>
      <c r="D296" s="716" t="s">
        <v>3545</v>
      </c>
      <c r="E296" s="716" t="s">
        <v>1451</v>
      </c>
      <c r="F296" s="720"/>
      <c r="G296" s="720"/>
      <c r="H296" s="720"/>
      <c r="I296" s="720"/>
      <c r="J296" s="720"/>
      <c r="K296" s="720"/>
      <c r="L296" s="720"/>
      <c r="M296" s="720"/>
      <c r="N296" s="720">
        <v>222.1</v>
      </c>
      <c r="O296" s="720">
        <v>285922.64999999997</v>
      </c>
      <c r="P296" s="745"/>
      <c r="Q296" s="721">
        <v>1287.3599729851417</v>
      </c>
    </row>
    <row r="297" spans="1:17" ht="14.45" customHeight="1" x14ac:dyDescent="0.2">
      <c r="A297" s="715" t="s">
        <v>518</v>
      </c>
      <c r="B297" s="716" t="s">
        <v>3028</v>
      </c>
      <c r="C297" s="716" t="s">
        <v>3421</v>
      </c>
      <c r="D297" s="716" t="s">
        <v>3546</v>
      </c>
      <c r="E297" s="716" t="s">
        <v>1446</v>
      </c>
      <c r="F297" s="720"/>
      <c r="G297" s="720"/>
      <c r="H297" s="720"/>
      <c r="I297" s="720"/>
      <c r="J297" s="720"/>
      <c r="K297" s="720"/>
      <c r="L297" s="720"/>
      <c r="M297" s="720"/>
      <c r="N297" s="720">
        <v>1</v>
      </c>
      <c r="O297" s="720">
        <v>1287.3599999999999</v>
      </c>
      <c r="P297" s="745"/>
      <c r="Q297" s="721">
        <v>1287.3599999999999</v>
      </c>
    </row>
    <row r="298" spans="1:17" ht="14.45" customHeight="1" x14ac:dyDescent="0.2">
      <c r="A298" s="715" t="s">
        <v>518</v>
      </c>
      <c r="B298" s="716" t="s">
        <v>3028</v>
      </c>
      <c r="C298" s="716" t="s">
        <v>3421</v>
      </c>
      <c r="D298" s="716" t="s">
        <v>3547</v>
      </c>
      <c r="E298" s="716" t="s">
        <v>3548</v>
      </c>
      <c r="F298" s="720">
        <v>0.5</v>
      </c>
      <c r="G298" s="720">
        <v>93.62</v>
      </c>
      <c r="H298" s="720"/>
      <c r="I298" s="720">
        <v>187.24</v>
      </c>
      <c r="J298" s="720"/>
      <c r="K298" s="720"/>
      <c r="L298" s="720"/>
      <c r="M298" s="720"/>
      <c r="N298" s="720"/>
      <c r="O298" s="720"/>
      <c r="P298" s="745"/>
      <c r="Q298" s="721"/>
    </row>
    <row r="299" spans="1:17" ht="14.45" customHeight="1" x14ac:dyDescent="0.2">
      <c r="A299" s="715" t="s">
        <v>518</v>
      </c>
      <c r="B299" s="716" t="s">
        <v>3028</v>
      </c>
      <c r="C299" s="716" t="s">
        <v>3421</v>
      </c>
      <c r="D299" s="716" t="s">
        <v>3549</v>
      </c>
      <c r="E299" s="716" t="s">
        <v>3537</v>
      </c>
      <c r="F299" s="720"/>
      <c r="G299" s="720"/>
      <c r="H299" s="720"/>
      <c r="I299" s="720"/>
      <c r="J299" s="720">
        <v>43</v>
      </c>
      <c r="K299" s="720">
        <v>18109.88</v>
      </c>
      <c r="L299" s="720">
        <v>1</v>
      </c>
      <c r="M299" s="720">
        <v>421.16</v>
      </c>
      <c r="N299" s="720"/>
      <c r="O299" s="720"/>
      <c r="P299" s="745"/>
      <c r="Q299" s="721"/>
    </row>
    <row r="300" spans="1:17" ht="14.45" customHeight="1" x14ac:dyDescent="0.2">
      <c r="A300" s="715" t="s">
        <v>518</v>
      </c>
      <c r="B300" s="716" t="s">
        <v>3028</v>
      </c>
      <c r="C300" s="716" t="s">
        <v>3421</v>
      </c>
      <c r="D300" s="716" t="s">
        <v>3550</v>
      </c>
      <c r="E300" s="716" t="s">
        <v>1451</v>
      </c>
      <c r="F300" s="720"/>
      <c r="G300" s="720"/>
      <c r="H300" s="720"/>
      <c r="I300" s="720"/>
      <c r="J300" s="720"/>
      <c r="K300" s="720"/>
      <c r="L300" s="720"/>
      <c r="M300" s="720"/>
      <c r="N300" s="720">
        <v>1</v>
      </c>
      <c r="O300" s="720">
        <v>643.67999999999995</v>
      </c>
      <c r="P300" s="745"/>
      <c r="Q300" s="721">
        <v>643.67999999999995</v>
      </c>
    </row>
    <row r="301" spans="1:17" ht="14.45" customHeight="1" x14ac:dyDescent="0.2">
      <c r="A301" s="715" t="s">
        <v>518</v>
      </c>
      <c r="B301" s="716" t="s">
        <v>3028</v>
      </c>
      <c r="C301" s="716" t="s">
        <v>3421</v>
      </c>
      <c r="D301" s="716" t="s">
        <v>3551</v>
      </c>
      <c r="E301" s="716" t="s">
        <v>1837</v>
      </c>
      <c r="F301" s="720"/>
      <c r="G301" s="720"/>
      <c r="H301" s="720"/>
      <c r="I301" s="720"/>
      <c r="J301" s="720">
        <v>0.2</v>
      </c>
      <c r="K301" s="720">
        <v>323.8</v>
      </c>
      <c r="L301" s="720">
        <v>1</v>
      </c>
      <c r="M301" s="720">
        <v>1619</v>
      </c>
      <c r="N301" s="720"/>
      <c r="O301" s="720"/>
      <c r="P301" s="745"/>
      <c r="Q301" s="721"/>
    </row>
    <row r="302" spans="1:17" ht="14.45" customHeight="1" x14ac:dyDescent="0.2">
      <c r="A302" s="715" t="s">
        <v>518</v>
      </c>
      <c r="B302" s="716" t="s">
        <v>3028</v>
      </c>
      <c r="C302" s="716" t="s">
        <v>3421</v>
      </c>
      <c r="D302" s="716" t="s">
        <v>3552</v>
      </c>
      <c r="E302" s="716" t="s">
        <v>1447</v>
      </c>
      <c r="F302" s="720"/>
      <c r="G302" s="720"/>
      <c r="H302" s="720"/>
      <c r="I302" s="720"/>
      <c r="J302" s="720"/>
      <c r="K302" s="720"/>
      <c r="L302" s="720"/>
      <c r="M302" s="720"/>
      <c r="N302" s="720">
        <v>10</v>
      </c>
      <c r="O302" s="720">
        <v>97297.08</v>
      </c>
      <c r="P302" s="745"/>
      <c r="Q302" s="721">
        <v>9729.7080000000005</v>
      </c>
    </row>
    <row r="303" spans="1:17" ht="14.45" customHeight="1" x14ac:dyDescent="0.2">
      <c r="A303" s="715" t="s">
        <v>518</v>
      </c>
      <c r="B303" s="716" t="s">
        <v>3028</v>
      </c>
      <c r="C303" s="716" t="s">
        <v>3421</v>
      </c>
      <c r="D303" s="716" t="s">
        <v>3553</v>
      </c>
      <c r="E303" s="716" t="s">
        <v>3434</v>
      </c>
      <c r="F303" s="720"/>
      <c r="G303" s="720"/>
      <c r="H303" s="720"/>
      <c r="I303" s="720"/>
      <c r="J303" s="720"/>
      <c r="K303" s="720"/>
      <c r="L303" s="720"/>
      <c r="M303" s="720"/>
      <c r="N303" s="720">
        <v>7.65</v>
      </c>
      <c r="O303" s="720">
        <v>4990.84</v>
      </c>
      <c r="P303" s="745"/>
      <c r="Q303" s="721">
        <v>652.39738562091497</v>
      </c>
    </row>
    <row r="304" spans="1:17" ht="14.45" customHeight="1" x14ac:dyDescent="0.2">
      <c r="A304" s="715" t="s">
        <v>518</v>
      </c>
      <c r="B304" s="716" t="s">
        <v>3028</v>
      </c>
      <c r="C304" s="716" t="s">
        <v>3421</v>
      </c>
      <c r="D304" s="716" t="s">
        <v>3553</v>
      </c>
      <c r="E304" s="716" t="s">
        <v>3554</v>
      </c>
      <c r="F304" s="720"/>
      <c r="G304" s="720"/>
      <c r="H304" s="720"/>
      <c r="I304" s="720"/>
      <c r="J304" s="720"/>
      <c r="K304" s="720"/>
      <c r="L304" s="720"/>
      <c r="M304" s="720"/>
      <c r="N304" s="720">
        <v>2.63</v>
      </c>
      <c r="O304" s="720">
        <v>1793.36</v>
      </c>
      <c r="P304" s="745"/>
      <c r="Q304" s="721">
        <v>681.88593155893534</v>
      </c>
    </row>
    <row r="305" spans="1:17" ht="14.45" customHeight="1" x14ac:dyDescent="0.2">
      <c r="A305" s="715" t="s">
        <v>518</v>
      </c>
      <c r="B305" s="716" t="s">
        <v>3028</v>
      </c>
      <c r="C305" s="716" t="s">
        <v>3421</v>
      </c>
      <c r="D305" s="716" t="s">
        <v>3555</v>
      </c>
      <c r="E305" s="716" t="s">
        <v>1447</v>
      </c>
      <c r="F305" s="720"/>
      <c r="G305" s="720"/>
      <c r="H305" s="720"/>
      <c r="I305" s="720"/>
      <c r="J305" s="720"/>
      <c r="K305" s="720"/>
      <c r="L305" s="720"/>
      <c r="M305" s="720"/>
      <c r="N305" s="720">
        <v>24</v>
      </c>
      <c r="O305" s="720">
        <v>114465.50999999998</v>
      </c>
      <c r="P305" s="745"/>
      <c r="Q305" s="721">
        <v>4769.3962499999989</v>
      </c>
    </row>
    <row r="306" spans="1:17" ht="14.45" customHeight="1" x14ac:dyDescent="0.2">
      <c r="A306" s="715" t="s">
        <v>518</v>
      </c>
      <c r="B306" s="716" t="s">
        <v>3028</v>
      </c>
      <c r="C306" s="716" t="s">
        <v>3421</v>
      </c>
      <c r="D306" s="716" t="s">
        <v>3556</v>
      </c>
      <c r="E306" s="716"/>
      <c r="F306" s="720"/>
      <c r="G306" s="720"/>
      <c r="H306" s="720"/>
      <c r="I306" s="720"/>
      <c r="J306" s="720"/>
      <c r="K306" s="720"/>
      <c r="L306" s="720"/>
      <c r="M306" s="720"/>
      <c r="N306" s="720">
        <v>5.1999999999999993</v>
      </c>
      <c r="O306" s="720">
        <v>1971.14</v>
      </c>
      <c r="P306" s="745"/>
      <c r="Q306" s="721">
        <v>379.06538461538469</v>
      </c>
    </row>
    <row r="307" spans="1:17" ht="14.45" customHeight="1" x14ac:dyDescent="0.2">
      <c r="A307" s="715" t="s">
        <v>518</v>
      </c>
      <c r="B307" s="716" t="s">
        <v>3028</v>
      </c>
      <c r="C307" s="716" t="s">
        <v>3421</v>
      </c>
      <c r="D307" s="716" t="s">
        <v>3556</v>
      </c>
      <c r="E307" s="716" t="s">
        <v>1520</v>
      </c>
      <c r="F307" s="720"/>
      <c r="G307" s="720"/>
      <c r="H307" s="720"/>
      <c r="I307" s="720"/>
      <c r="J307" s="720"/>
      <c r="K307" s="720"/>
      <c r="L307" s="720"/>
      <c r="M307" s="720"/>
      <c r="N307" s="720">
        <v>13.750000000000002</v>
      </c>
      <c r="O307" s="720">
        <v>5196.1799999999994</v>
      </c>
      <c r="P307" s="745"/>
      <c r="Q307" s="721">
        <v>377.90399999999988</v>
      </c>
    </row>
    <row r="308" spans="1:17" ht="14.45" customHeight="1" x14ac:dyDescent="0.2">
      <c r="A308" s="715" t="s">
        <v>518</v>
      </c>
      <c r="B308" s="716" t="s">
        <v>3028</v>
      </c>
      <c r="C308" s="716" t="s">
        <v>3421</v>
      </c>
      <c r="D308" s="716" t="s">
        <v>3557</v>
      </c>
      <c r="E308" s="716" t="s">
        <v>1514</v>
      </c>
      <c r="F308" s="720"/>
      <c r="G308" s="720"/>
      <c r="H308" s="720"/>
      <c r="I308" s="720"/>
      <c r="J308" s="720"/>
      <c r="K308" s="720"/>
      <c r="L308" s="720"/>
      <c r="M308" s="720"/>
      <c r="N308" s="720">
        <v>7.1000000000000005</v>
      </c>
      <c r="O308" s="720">
        <v>5881.2</v>
      </c>
      <c r="P308" s="745"/>
      <c r="Q308" s="721">
        <v>828.33802816901402</v>
      </c>
    </row>
    <row r="309" spans="1:17" ht="14.45" customHeight="1" x14ac:dyDescent="0.2">
      <c r="A309" s="715" t="s">
        <v>518</v>
      </c>
      <c r="B309" s="716" t="s">
        <v>3028</v>
      </c>
      <c r="C309" s="716" t="s">
        <v>3558</v>
      </c>
      <c r="D309" s="716" t="s">
        <v>3559</v>
      </c>
      <c r="E309" s="716" t="s">
        <v>3560</v>
      </c>
      <c r="F309" s="720">
        <v>4</v>
      </c>
      <c r="G309" s="720">
        <v>5626.44</v>
      </c>
      <c r="H309" s="720">
        <v>3.9586018630568764</v>
      </c>
      <c r="I309" s="720">
        <v>1406.61</v>
      </c>
      <c r="J309" s="720">
        <v>1</v>
      </c>
      <c r="K309" s="720">
        <v>1421.32</v>
      </c>
      <c r="L309" s="720">
        <v>1</v>
      </c>
      <c r="M309" s="720">
        <v>1421.32</v>
      </c>
      <c r="N309" s="720">
        <v>3</v>
      </c>
      <c r="O309" s="720">
        <v>4263.96</v>
      </c>
      <c r="P309" s="745">
        <v>3</v>
      </c>
      <c r="Q309" s="721">
        <v>1421.32</v>
      </c>
    </row>
    <row r="310" spans="1:17" ht="14.45" customHeight="1" x14ac:dyDescent="0.2">
      <c r="A310" s="715" t="s">
        <v>518</v>
      </c>
      <c r="B310" s="716" t="s">
        <v>3028</v>
      </c>
      <c r="C310" s="716" t="s">
        <v>3558</v>
      </c>
      <c r="D310" s="716" t="s">
        <v>3561</v>
      </c>
      <c r="E310" s="716" t="s">
        <v>3562</v>
      </c>
      <c r="F310" s="720">
        <v>885</v>
      </c>
      <c r="G310" s="720">
        <v>1910913.3299999998</v>
      </c>
      <c r="H310" s="720">
        <v>1.0806289409966803</v>
      </c>
      <c r="I310" s="720">
        <v>2159.2241016949151</v>
      </c>
      <c r="J310" s="720">
        <v>816</v>
      </c>
      <c r="K310" s="720">
        <v>1768334.4</v>
      </c>
      <c r="L310" s="720">
        <v>1</v>
      </c>
      <c r="M310" s="720">
        <v>2167.0764705882352</v>
      </c>
      <c r="N310" s="720">
        <v>502</v>
      </c>
      <c r="O310" s="720">
        <v>1095399.8800000001</v>
      </c>
      <c r="P310" s="745">
        <v>0.6194529043827911</v>
      </c>
      <c r="Q310" s="721">
        <v>2182.0714741035858</v>
      </c>
    </row>
    <row r="311" spans="1:17" ht="14.45" customHeight="1" x14ac:dyDescent="0.2">
      <c r="A311" s="715" t="s">
        <v>518</v>
      </c>
      <c r="B311" s="716" t="s">
        <v>3028</v>
      </c>
      <c r="C311" s="716" t="s">
        <v>3558</v>
      </c>
      <c r="D311" s="716" t="s">
        <v>3563</v>
      </c>
      <c r="E311" s="716" t="s">
        <v>3564</v>
      </c>
      <c r="F311" s="720">
        <v>319</v>
      </c>
      <c r="G311" s="720">
        <v>842526.85000000009</v>
      </c>
      <c r="H311" s="720">
        <v>0.58781295027522551</v>
      </c>
      <c r="I311" s="720">
        <v>2641.15</v>
      </c>
      <c r="J311" s="720">
        <v>541</v>
      </c>
      <c r="K311" s="720">
        <v>1433324.75</v>
      </c>
      <c r="L311" s="720">
        <v>1</v>
      </c>
      <c r="M311" s="720">
        <v>2649.398798521257</v>
      </c>
      <c r="N311" s="720">
        <v>833</v>
      </c>
      <c r="O311" s="720">
        <v>2221650.0400000005</v>
      </c>
      <c r="P311" s="745">
        <v>1.5499976819628634</v>
      </c>
      <c r="Q311" s="721">
        <v>2667.0468667466994</v>
      </c>
    </row>
    <row r="312" spans="1:17" ht="14.45" customHeight="1" x14ac:dyDescent="0.2">
      <c r="A312" s="715" t="s">
        <v>518</v>
      </c>
      <c r="B312" s="716" t="s">
        <v>3028</v>
      </c>
      <c r="C312" s="716" t="s">
        <v>3558</v>
      </c>
      <c r="D312" s="716" t="s">
        <v>3565</v>
      </c>
      <c r="E312" s="716" t="s">
        <v>3564</v>
      </c>
      <c r="F312" s="720">
        <v>1</v>
      </c>
      <c r="G312" s="720">
        <v>1660.26</v>
      </c>
      <c r="H312" s="720"/>
      <c r="I312" s="720">
        <v>1660.26</v>
      </c>
      <c r="J312" s="720"/>
      <c r="K312" s="720"/>
      <c r="L312" s="720"/>
      <c r="M312" s="720"/>
      <c r="N312" s="720"/>
      <c r="O312" s="720"/>
      <c r="P312" s="745"/>
      <c r="Q312" s="721"/>
    </row>
    <row r="313" spans="1:17" ht="14.45" customHeight="1" x14ac:dyDescent="0.2">
      <c r="A313" s="715" t="s">
        <v>518</v>
      </c>
      <c r="B313" s="716" t="s">
        <v>3028</v>
      </c>
      <c r="C313" s="716" t="s">
        <v>3558</v>
      </c>
      <c r="D313" s="716" t="s">
        <v>3566</v>
      </c>
      <c r="E313" s="716" t="s">
        <v>3567</v>
      </c>
      <c r="F313" s="720">
        <v>8</v>
      </c>
      <c r="G313" s="720">
        <v>17276.560000000001</v>
      </c>
      <c r="H313" s="720">
        <v>1.5892673656051963</v>
      </c>
      <c r="I313" s="720">
        <v>2159.5700000000002</v>
      </c>
      <c r="J313" s="720">
        <v>5</v>
      </c>
      <c r="K313" s="720">
        <v>10870.77</v>
      </c>
      <c r="L313" s="720">
        <v>1</v>
      </c>
      <c r="M313" s="720">
        <v>2174.154</v>
      </c>
      <c r="N313" s="720">
        <v>5</v>
      </c>
      <c r="O313" s="720">
        <v>10895.68</v>
      </c>
      <c r="P313" s="745">
        <v>1.0022914660139071</v>
      </c>
      <c r="Q313" s="721">
        <v>2179.136</v>
      </c>
    </row>
    <row r="314" spans="1:17" ht="14.45" customHeight="1" x14ac:dyDescent="0.2">
      <c r="A314" s="715" t="s">
        <v>518</v>
      </c>
      <c r="B314" s="716" t="s">
        <v>3028</v>
      </c>
      <c r="C314" s="716" t="s">
        <v>3558</v>
      </c>
      <c r="D314" s="716" t="s">
        <v>3568</v>
      </c>
      <c r="E314" s="716" t="s">
        <v>3569</v>
      </c>
      <c r="F314" s="720">
        <v>31</v>
      </c>
      <c r="G314" s="720">
        <v>275973.16000000003</v>
      </c>
      <c r="H314" s="720">
        <v>1.4039262887363639</v>
      </c>
      <c r="I314" s="720">
        <v>8902.36</v>
      </c>
      <c r="J314" s="720">
        <v>22</v>
      </c>
      <c r="K314" s="720">
        <v>196572.4</v>
      </c>
      <c r="L314" s="720">
        <v>1</v>
      </c>
      <c r="M314" s="720">
        <v>8935.1090909090908</v>
      </c>
      <c r="N314" s="720">
        <v>57</v>
      </c>
      <c r="O314" s="720">
        <v>511350.26</v>
      </c>
      <c r="P314" s="745">
        <v>2.6013329439941724</v>
      </c>
      <c r="Q314" s="721">
        <v>8971.0571929824564</v>
      </c>
    </row>
    <row r="315" spans="1:17" ht="14.45" customHeight="1" x14ac:dyDescent="0.2">
      <c r="A315" s="715" t="s">
        <v>518</v>
      </c>
      <c r="B315" s="716" t="s">
        <v>3028</v>
      </c>
      <c r="C315" s="716" t="s">
        <v>3558</v>
      </c>
      <c r="D315" s="716" t="s">
        <v>3570</v>
      </c>
      <c r="E315" s="716" t="s">
        <v>3571</v>
      </c>
      <c r="F315" s="720">
        <v>47.1</v>
      </c>
      <c r="G315" s="720">
        <v>485560.96</v>
      </c>
      <c r="H315" s="720">
        <v>0.83993513850876</v>
      </c>
      <c r="I315" s="720">
        <v>10309.149893842887</v>
      </c>
      <c r="J315" s="720">
        <v>56</v>
      </c>
      <c r="K315" s="720">
        <v>578093.4</v>
      </c>
      <c r="L315" s="720">
        <v>1</v>
      </c>
      <c r="M315" s="720">
        <v>10323.096428571429</v>
      </c>
      <c r="N315" s="720">
        <v>60</v>
      </c>
      <c r="O315" s="720">
        <v>620745.90000000014</v>
      </c>
      <c r="P315" s="745">
        <v>1.0737813301449215</v>
      </c>
      <c r="Q315" s="721">
        <v>10345.765000000003</v>
      </c>
    </row>
    <row r="316" spans="1:17" ht="14.45" customHeight="1" x14ac:dyDescent="0.2">
      <c r="A316" s="715" t="s">
        <v>518</v>
      </c>
      <c r="B316" s="716" t="s">
        <v>3028</v>
      </c>
      <c r="C316" s="716" t="s">
        <v>3558</v>
      </c>
      <c r="D316" s="716" t="s">
        <v>3572</v>
      </c>
      <c r="E316" s="716" t="s">
        <v>3573</v>
      </c>
      <c r="F316" s="720">
        <v>376</v>
      </c>
      <c r="G316" s="720">
        <v>455565.36</v>
      </c>
      <c r="H316" s="720">
        <v>0.78847210438904458</v>
      </c>
      <c r="I316" s="720">
        <v>1211.6099999999999</v>
      </c>
      <c r="J316" s="720">
        <v>475</v>
      </c>
      <c r="K316" s="720">
        <v>577782.47</v>
      </c>
      <c r="L316" s="720">
        <v>1</v>
      </c>
      <c r="M316" s="720">
        <v>1216.3841473684211</v>
      </c>
      <c r="N316" s="720">
        <v>405</v>
      </c>
      <c r="O316" s="720">
        <v>496904.07000000024</v>
      </c>
      <c r="P316" s="745">
        <v>0.86001929065103044</v>
      </c>
      <c r="Q316" s="721">
        <v>1226.9236296296301</v>
      </c>
    </row>
    <row r="317" spans="1:17" ht="14.45" customHeight="1" x14ac:dyDescent="0.2">
      <c r="A317" s="715" t="s">
        <v>518</v>
      </c>
      <c r="B317" s="716" t="s">
        <v>3028</v>
      </c>
      <c r="C317" s="716" t="s">
        <v>3558</v>
      </c>
      <c r="D317" s="716" t="s">
        <v>3574</v>
      </c>
      <c r="E317" s="716" t="s">
        <v>3575</v>
      </c>
      <c r="F317" s="720">
        <v>78</v>
      </c>
      <c r="G317" s="720">
        <v>19157.580000000002</v>
      </c>
      <c r="H317" s="720">
        <v>1.6154628430340809</v>
      </c>
      <c r="I317" s="720">
        <v>245.61</v>
      </c>
      <c r="J317" s="720">
        <v>48</v>
      </c>
      <c r="K317" s="720">
        <v>11858.88</v>
      </c>
      <c r="L317" s="720">
        <v>1</v>
      </c>
      <c r="M317" s="720">
        <v>247.05999999999997</v>
      </c>
      <c r="N317" s="720">
        <v>52</v>
      </c>
      <c r="O317" s="720">
        <v>12997.92</v>
      </c>
      <c r="P317" s="745">
        <v>1.0960495426212258</v>
      </c>
      <c r="Q317" s="721">
        <v>249.96</v>
      </c>
    </row>
    <row r="318" spans="1:17" ht="14.45" customHeight="1" x14ac:dyDescent="0.2">
      <c r="A318" s="715" t="s">
        <v>518</v>
      </c>
      <c r="B318" s="716" t="s">
        <v>3028</v>
      </c>
      <c r="C318" s="716" t="s">
        <v>3558</v>
      </c>
      <c r="D318" s="716" t="s">
        <v>3574</v>
      </c>
      <c r="E318" s="716" t="s">
        <v>3576</v>
      </c>
      <c r="F318" s="720">
        <v>22</v>
      </c>
      <c r="G318" s="720">
        <v>5403.42</v>
      </c>
      <c r="H318" s="720">
        <v>4.3234277484397508</v>
      </c>
      <c r="I318" s="720">
        <v>245.61</v>
      </c>
      <c r="J318" s="720">
        <v>5</v>
      </c>
      <c r="K318" s="720">
        <v>1249.8</v>
      </c>
      <c r="L318" s="720">
        <v>1</v>
      </c>
      <c r="M318" s="720">
        <v>249.95999999999998</v>
      </c>
      <c r="N318" s="720">
        <v>10</v>
      </c>
      <c r="O318" s="720">
        <v>2499.6</v>
      </c>
      <c r="P318" s="745">
        <v>2</v>
      </c>
      <c r="Q318" s="721">
        <v>249.95999999999998</v>
      </c>
    </row>
    <row r="319" spans="1:17" ht="14.45" customHeight="1" x14ac:dyDescent="0.2">
      <c r="A319" s="715" t="s">
        <v>518</v>
      </c>
      <c r="B319" s="716" t="s">
        <v>3028</v>
      </c>
      <c r="C319" s="716" t="s">
        <v>3558</v>
      </c>
      <c r="D319" s="716" t="s">
        <v>3577</v>
      </c>
      <c r="E319" s="716" t="s">
        <v>3578</v>
      </c>
      <c r="F319" s="720">
        <v>8</v>
      </c>
      <c r="G319" s="720">
        <v>21129.200000000001</v>
      </c>
      <c r="H319" s="720"/>
      <c r="I319" s="720">
        <v>2641.15</v>
      </c>
      <c r="J319" s="720"/>
      <c r="K319" s="720"/>
      <c r="L319" s="720"/>
      <c r="M319" s="720"/>
      <c r="N319" s="720"/>
      <c r="O319" s="720"/>
      <c r="P319" s="745"/>
      <c r="Q319" s="721"/>
    </row>
    <row r="320" spans="1:17" ht="14.45" customHeight="1" x14ac:dyDescent="0.2">
      <c r="A320" s="715" t="s">
        <v>518</v>
      </c>
      <c r="B320" s="716" t="s">
        <v>3028</v>
      </c>
      <c r="C320" s="716" t="s">
        <v>3579</v>
      </c>
      <c r="D320" s="716" t="s">
        <v>3580</v>
      </c>
      <c r="E320" s="716" t="s">
        <v>3581</v>
      </c>
      <c r="F320" s="720">
        <v>33</v>
      </c>
      <c r="G320" s="720">
        <v>10889.34</v>
      </c>
      <c r="H320" s="720">
        <v>1.5714285714285714</v>
      </c>
      <c r="I320" s="720">
        <v>329.98</v>
      </c>
      <c r="J320" s="720">
        <v>21</v>
      </c>
      <c r="K320" s="720">
        <v>6929.58</v>
      </c>
      <c r="L320" s="720">
        <v>1</v>
      </c>
      <c r="M320" s="720">
        <v>329.98</v>
      </c>
      <c r="N320" s="720">
        <v>46</v>
      </c>
      <c r="O320" s="720">
        <v>13875.25</v>
      </c>
      <c r="P320" s="745">
        <v>2.0023219300448223</v>
      </c>
      <c r="Q320" s="721">
        <v>301.63586956521738</v>
      </c>
    </row>
    <row r="321" spans="1:17" ht="14.45" customHeight="1" x14ac:dyDescent="0.2">
      <c r="A321" s="715" t="s">
        <v>518</v>
      </c>
      <c r="B321" s="716" t="s">
        <v>3028</v>
      </c>
      <c r="C321" s="716" t="s">
        <v>3579</v>
      </c>
      <c r="D321" s="716" t="s">
        <v>3582</v>
      </c>
      <c r="E321" s="716" t="s">
        <v>3581</v>
      </c>
      <c r="F321" s="720">
        <v>10</v>
      </c>
      <c r="G321" s="720">
        <v>4334.1000000000004</v>
      </c>
      <c r="H321" s="720">
        <v>3.3333333333333335</v>
      </c>
      <c r="I321" s="720">
        <v>433.41</v>
      </c>
      <c r="J321" s="720">
        <v>3</v>
      </c>
      <c r="K321" s="720">
        <v>1300.23</v>
      </c>
      <c r="L321" s="720">
        <v>1</v>
      </c>
      <c r="M321" s="720">
        <v>433.41</v>
      </c>
      <c r="N321" s="720">
        <v>6</v>
      </c>
      <c r="O321" s="720">
        <v>2222.34</v>
      </c>
      <c r="P321" s="745">
        <v>1.7091899125539329</v>
      </c>
      <c r="Q321" s="721">
        <v>370.39000000000004</v>
      </c>
    </row>
    <row r="322" spans="1:17" ht="14.45" customHeight="1" x14ac:dyDescent="0.2">
      <c r="A322" s="715" t="s">
        <v>518</v>
      </c>
      <c r="B322" s="716" t="s">
        <v>3028</v>
      </c>
      <c r="C322" s="716" t="s">
        <v>3579</v>
      </c>
      <c r="D322" s="716" t="s">
        <v>3583</v>
      </c>
      <c r="E322" s="716" t="s">
        <v>3584</v>
      </c>
      <c r="F322" s="720">
        <v>3.4</v>
      </c>
      <c r="G322" s="720">
        <v>4880.2199999999993</v>
      </c>
      <c r="H322" s="720">
        <v>3.3999972132426706</v>
      </c>
      <c r="I322" s="720">
        <v>1435.3588235294117</v>
      </c>
      <c r="J322" s="720">
        <v>1</v>
      </c>
      <c r="K322" s="720">
        <v>1435.36</v>
      </c>
      <c r="L322" s="720">
        <v>1</v>
      </c>
      <c r="M322" s="720">
        <v>1435.36</v>
      </c>
      <c r="N322" s="720">
        <v>1</v>
      </c>
      <c r="O322" s="720">
        <v>1435.36</v>
      </c>
      <c r="P322" s="745">
        <v>1</v>
      </c>
      <c r="Q322" s="721">
        <v>1435.36</v>
      </c>
    </row>
    <row r="323" spans="1:17" ht="14.45" customHeight="1" x14ac:dyDescent="0.2">
      <c r="A323" s="715" t="s">
        <v>518</v>
      </c>
      <c r="B323" s="716" t="s">
        <v>3028</v>
      </c>
      <c r="C323" s="716" t="s">
        <v>3579</v>
      </c>
      <c r="D323" s="716" t="s">
        <v>3585</v>
      </c>
      <c r="E323" s="716" t="s">
        <v>3586</v>
      </c>
      <c r="F323" s="720">
        <v>0.1</v>
      </c>
      <c r="G323" s="720">
        <v>126.58</v>
      </c>
      <c r="H323" s="720">
        <v>1.1800130511792672</v>
      </c>
      <c r="I323" s="720">
        <v>1265.8</v>
      </c>
      <c r="J323" s="720">
        <v>0.1</v>
      </c>
      <c r="K323" s="720">
        <v>107.27</v>
      </c>
      <c r="L323" s="720">
        <v>1</v>
      </c>
      <c r="M323" s="720">
        <v>1072.6999999999998</v>
      </c>
      <c r="N323" s="720">
        <v>0.1</v>
      </c>
      <c r="O323" s="720">
        <v>107.18</v>
      </c>
      <c r="P323" s="745">
        <v>0.99916099561853278</v>
      </c>
      <c r="Q323" s="721">
        <v>1071.8</v>
      </c>
    </row>
    <row r="324" spans="1:17" ht="14.45" customHeight="1" x14ac:dyDescent="0.2">
      <c r="A324" s="715" t="s">
        <v>518</v>
      </c>
      <c r="B324" s="716" t="s">
        <v>3028</v>
      </c>
      <c r="C324" s="716" t="s">
        <v>3579</v>
      </c>
      <c r="D324" s="716" t="s">
        <v>3587</v>
      </c>
      <c r="E324" s="716" t="s">
        <v>3588</v>
      </c>
      <c r="F324" s="720">
        <v>3</v>
      </c>
      <c r="G324" s="720">
        <v>261.14999999999998</v>
      </c>
      <c r="H324" s="720">
        <v>3</v>
      </c>
      <c r="I324" s="720">
        <v>87.05</v>
      </c>
      <c r="J324" s="720">
        <v>1</v>
      </c>
      <c r="K324" s="720">
        <v>87.05</v>
      </c>
      <c r="L324" s="720">
        <v>1</v>
      </c>
      <c r="M324" s="720">
        <v>87.05</v>
      </c>
      <c r="N324" s="720"/>
      <c r="O324" s="720"/>
      <c r="P324" s="745"/>
      <c r="Q324" s="721"/>
    </row>
    <row r="325" spans="1:17" ht="14.45" customHeight="1" x14ac:dyDescent="0.2">
      <c r="A325" s="715" t="s">
        <v>518</v>
      </c>
      <c r="B325" s="716" t="s">
        <v>3028</v>
      </c>
      <c r="C325" s="716" t="s">
        <v>3579</v>
      </c>
      <c r="D325" s="716" t="s">
        <v>3589</v>
      </c>
      <c r="E325" s="716" t="s">
        <v>3590</v>
      </c>
      <c r="F325" s="720"/>
      <c r="G325" s="720"/>
      <c r="H325" s="720"/>
      <c r="I325" s="720"/>
      <c r="J325" s="720">
        <v>1</v>
      </c>
      <c r="K325" s="720">
        <v>875.93</v>
      </c>
      <c r="L325" s="720">
        <v>1</v>
      </c>
      <c r="M325" s="720">
        <v>875.93</v>
      </c>
      <c r="N325" s="720"/>
      <c r="O325" s="720"/>
      <c r="P325" s="745"/>
      <c r="Q325" s="721"/>
    </row>
    <row r="326" spans="1:17" ht="14.45" customHeight="1" x14ac:dyDescent="0.2">
      <c r="A326" s="715" t="s">
        <v>518</v>
      </c>
      <c r="B326" s="716" t="s">
        <v>3028</v>
      </c>
      <c r="C326" s="716" t="s">
        <v>3579</v>
      </c>
      <c r="D326" s="716" t="s">
        <v>3591</v>
      </c>
      <c r="E326" s="716" t="s">
        <v>3592</v>
      </c>
      <c r="F326" s="720"/>
      <c r="G326" s="720"/>
      <c r="H326" s="720"/>
      <c r="I326" s="720"/>
      <c r="J326" s="720"/>
      <c r="K326" s="720"/>
      <c r="L326" s="720"/>
      <c r="M326" s="720"/>
      <c r="N326" s="720">
        <v>0.8</v>
      </c>
      <c r="O326" s="720">
        <v>91.69</v>
      </c>
      <c r="P326" s="745"/>
      <c r="Q326" s="721">
        <v>114.6125</v>
      </c>
    </row>
    <row r="327" spans="1:17" ht="14.45" customHeight="1" x14ac:dyDescent="0.2">
      <c r="A327" s="715" t="s">
        <v>518</v>
      </c>
      <c r="B327" s="716" t="s">
        <v>3028</v>
      </c>
      <c r="C327" s="716" t="s">
        <v>3579</v>
      </c>
      <c r="D327" s="716" t="s">
        <v>3593</v>
      </c>
      <c r="E327" s="716" t="s">
        <v>3592</v>
      </c>
      <c r="F327" s="720"/>
      <c r="G327" s="720"/>
      <c r="H327" s="720"/>
      <c r="I327" s="720"/>
      <c r="J327" s="720"/>
      <c r="K327" s="720"/>
      <c r="L327" s="720"/>
      <c r="M327" s="720"/>
      <c r="N327" s="720">
        <v>0.5</v>
      </c>
      <c r="O327" s="720">
        <v>68.960000000000008</v>
      </c>
      <c r="P327" s="745"/>
      <c r="Q327" s="721">
        <v>137.92000000000002</v>
      </c>
    </row>
    <row r="328" spans="1:17" ht="14.45" customHeight="1" x14ac:dyDescent="0.2">
      <c r="A328" s="715" t="s">
        <v>518</v>
      </c>
      <c r="B328" s="716" t="s">
        <v>3028</v>
      </c>
      <c r="C328" s="716" t="s">
        <v>3579</v>
      </c>
      <c r="D328" s="716" t="s">
        <v>3594</v>
      </c>
      <c r="E328" s="716" t="s">
        <v>3592</v>
      </c>
      <c r="F328" s="720">
        <v>3.7</v>
      </c>
      <c r="G328" s="720">
        <v>2329.4499999999998</v>
      </c>
      <c r="H328" s="720">
        <v>1.4799931383262597</v>
      </c>
      <c r="I328" s="720">
        <v>629.58108108108104</v>
      </c>
      <c r="J328" s="720">
        <v>2.5</v>
      </c>
      <c r="K328" s="720">
        <v>1573.96</v>
      </c>
      <c r="L328" s="720">
        <v>1</v>
      </c>
      <c r="M328" s="720">
        <v>629.58400000000006</v>
      </c>
      <c r="N328" s="720">
        <v>2.8</v>
      </c>
      <c r="O328" s="720">
        <v>1762.82</v>
      </c>
      <c r="P328" s="745">
        <v>1.1199903428295508</v>
      </c>
      <c r="Q328" s="721">
        <v>629.57857142857142</v>
      </c>
    </row>
    <row r="329" spans="1:17" ht="14.45" customHeight="1" x14ac:dyDescent="0.2">
      <c r="A329" s="715" t="s">
        <v>518</v>
      </c>
      <c r="B329" s="716" t="s">
        <v>3028</v>
      </c>
      <c r="C329" s="716" t="s">
        <v>3579</v>
      </c>
      <c r="D329" s="716" t="s">
        <v>3595</v>
      </c>
      <c r="E329" s="716" t="s">
        <v>3596</v>
      </c>
      <c r="F329" s="720"/>
      <c r="G329" s="720"/>
      <c r="H329" s="720"/>
      <c r="I329" s="720"/>
      <c r="J329" s="720"/>
      <c r="K329" s="720"/>
      <c r="L329" s="720"/>
      <c r="M329" s="720"/>
      <c r="N329" s="720">
        <v>3</v>
      </c>
      <c r="O329" s="720">
        <v>3000.1</v>
      </c>
      <c r="P329" s="745"/>
      <c r="Q329" s="721">
        <v>1000.0333333333333</v>
      </c>
    </row>
    <row r="330" spans="1:17" ht="14.45" customHeight="1" x14ac:dyDescent="0.2">
      <c r="A330" s="715" t="s">
        <v>518</v>
      </c>
      <c r="B330" s="716" t="s">
        <v>3028</v>
      </c>
      <c r="C330" s="716" t="s">
        <v>3579</v>
      </c>
      <c r="D330" s="716" t="s">
        <v>3597</v>
      </c>
      <c r="E330" s="716" t="s">
        <v>3598</v>
      </c>
      <c r="F330" s="720"/>
      <c r="G330" s="720"/>
      <c r="H330" s="720"/>
      <c r="I330" s="720"/>
      <c r="J330" s="720">
        <v>1</v>
      </c>
      <c r="K330" s="720">
        <v>2111.8000000000002</v>
      </c>
      <c r="L330" s="720">
        <v>1</v>
      </c>
      <c r="M330" s="720">
        <v>2111.8000000000002</v>
      </c>
      <c r="N330" s="720"/>
      <c r="O330" s="720"/>
      <c r="P330" s="745"/>
      <c r="Q330" s="721"/>
    </row>
    <row r="331" spans="1:17" ht="14.45" customHeight="1" x14ac:dyDescent="0.2">
      <c r="A331" s="715" t="s">
        <v>518</v>
      </c>
      <c r="B331" s="716" t="s">
        <v>3028</v>
      </c>
      <c r="C331" s="716" t="s">
        <v>3579</v>
      </c>
      <c r="D331" s="716" t="s">
        <v>3599</v>
      </c>
      <c r="E331" s="716" t="s">
        <v>3600</v>
      </c>
      <c r="F331" s="720">
        <v>11</v>
      </c>
      <c r="G331" s="720">
        <v>11377.189999999999</v>
      </c>
      <c r="H331" s="720"/>
      <c r="I331" s="720">
        <v>1034.29</v>
      </c>
      <c r="J331" s="720"/>
      <c r="K331" s="720"/>
      <c r="L331" s="720"/>
      <c r="M331" s="720"/>
      <c r="N331" s="720">
        <v>4</v>
      </c>
      <c r="O331" s="720">
        <v>3536.2</v>
      </c>
      <c r="P331" s="745"/>
      <c r="Q331" s="721">
        <v>884.05</v>
      </c>
    </row>
    <row r="332" spans="1:17" ht="14.45" customHeight="1" x14ac:dyDescent="0.2">
      <c r="A332" s="715" t="s">
        <v>518</v>
      </c>
      <c r="B332" s="716" t="s">
        <v>3028</v>
      </c>
      <c r="C332" s="716" t="s">
        <v>3579</v>
      </c>
      <c r="D332" s="716" t="s">
        <v>3601</v>
      </c>
      <c r="E332" s="716" t="s">
        <v>3600</v>
      </c>
      <c r="F332" s="720">
        <v>4</v>
      </c>
      <c r="G332" s="720">
        <v>4398.32</v>
      </c>
      <c r="H332" s="720"/>
      <c r="I332" s="720">
        <v>1099.58</v>
      </c>
      <c r="J332" s="720"/>
      <c r="K332" s="720"/>
      <c r="L332" s="720"/>
      <c r="M332" s="720"/>
      <c r="N332" s="720">
        <v>4</v>
      </c>
      <c r="O332" s="720">
        <v>3758.48</v>
      </c>
      <c r="P332" s="745"/>
      <c r="Q332" s="721">
        <v>939.62</v>
      </c>
    </row>
    <row r="333" spans="1:17" ht="14.45" customHeight="1" x14ac:dyDescent="0.2">
      <c r="A333" s="715" t="s">
        <v>518</v>
      </c>
      <c r="B333" s="716" t="s">
        <v>3028</v>
      </c>
      <c r="C333" s="716" t="s">
        <v>3579</v>
      </c>
      <c r="D333" s="716" t="s">
        <v>3602</v>
      </c>
      <c r="E333" s="716" t="s">
        <v>3600</v>
      </c>
      <c r="F333" s="720"/>
      <c r="G333" s="720"/>
      <c r="H333" s="720"/>
      <c r="I333" s="720"/>
      <c r="J333" s="720"/>
      <c r="K333" s="720"/>
      <c r="L333" s="720"/>
      <c r="M333" s="720"/>
      <c r="N333" s="720">
        <v>2</v>
      </c>
      <c r="O333" s="720">
        <v>2017.64</v>
      </c>
      <c r="P333" s="745"/>
      <c r="Q333" s="721">
        <v>1008.82</v>
      </c>
    </row>
    <row r="334" spans="1:17" ht="14.45" customHeight="1" x14ac:dyDescent="0.2">
      <c r="A334" s="715" t="s">
        <v>518</v>
      </c>
      <c r="B334" s="716" t="s">
        <v>3028</v>
      </c>
      <c r="C334" s="716" t="s">
        <v>3579</v>
      </c>
      <c r="D334" s="716" t="s">
        <v>3603</v>
      </c>
      <c r="E334" s="716" t="s">
        <v>3600</v>
      </c>
      <c r="F334" s="720">
        <v>4</v>
      </c>
      <c r="G334" s="720">
        <v>4991.12</v>
      </c>
      <c r="H334" s="720"/>
      <c r="I334" s="720">
        <v>1247.78</v>
      </c>
      <c r="J334" s="720"/>
      <c r="K334" s="720"/>
      <c r="L334" s="720"/>
      <c r="M334" s="720"/>
      <c r="N334" s="720">
        <v>3</v>
      </c>
      <c r="O334" s="720">
        <v>3198.99</v>
      </c>
      <c r="P334" s="745"/>
      <c r="Q334" s="721">
        <v>1066.33</v>
      </c>
    </row>
    <row r="335" spans="1:17" ht="14.45" customHeight="1" x14ac:dyDescent="0.2">
      <c r="A335" s="715" t="s">
        <v>518</v>
      </c>
      <c r="B335" s="716" t="s">
        <v>3028</v>
      </c>
      <c r="C335" s="716" t="s">
        <v>3579</v>
      </c>
      <c r="D335" s="716" t="s">
        <v>3604</v>
      </c>
      <c r="E335" s="716" t="s">
        <v>3605</v>
      </c>
      <c r="F335" s="720">
        <v>2</v>
      </c>
      <c r="G335" s="720">
        <v>1374</v>
      </c>
      <c r="H335" s="720">
        <v>2</v>
      </c>
      <c r="I335" s="720">
        <v>687</v>
      </c>
      <c r="J335" s="720">
        <v>1</v>
      </c>
      <c r="K335" s="720">
        <v>687</v>
      </c>
      <c r="L335" s="720">
        <v>1</v>
      </c>
      <c r="M335" s="720">
        <v>687</v>
      </c>
      <c r="N335" s="720">
        <v>2</v>
      </c>
      <c r="O335" s="720">
        <v>1374</v>
      </c>
      <c r="P335" s="745">
        <v>2</v>
      </c>
      <c r="Q335" s="721">
        <v>687</v>
      </c>
    </row>
    <row r="336" spans="1:17" ht="14.45" customHeight="1" x14ac:dyDescent="0.2">
      <c r="A336" s="715" t="s">
        <v>518</v>
      </c>
      <c r="B336" s="716" t="s">
        <v>3028</v>
      </c>
      <c r="C336" s="716" t="s">
        <v>3579</v>
      </c>
      <c r="D336" s="716" t="s">
        <v>3606</v>
      </c>
      <c r="E336" s="716" t="s">
        <v>3607</v>
      </c>
      <c r="F336" s="720"/>
      <c r="G336" s="720"/>
      <c r="H336" s="720"/>
      <c r="I336" s="720"/>
      <c r="J336" s="720"/>
      <c r="K336" s="720"/>
      <c r="L336" s="720"/>
      <c r="M336" s="720"/>
      <c r="N336" s="720">
        <v>4</v>
      </c>
      <c r="O336" s="720">
        <v>7016.14</v>
      </c>
      <c r="P336" s="745"/>
      <c r="Q336" s="721">
        <v>1754.0350000000001</v>
      </c>
    </row>
    <row r="337" spans="1:17" ht="14.45" customHeight="1" x14ac:dyDescent="0.2">
      <c r="A337" s="715" t="s">
        <v>518</v>
      </c>
      <c r="B337" s="716" t="s">
        <v>3028</v>
      </c>
      <c r="C337" s="716" t="s">
        <v>3579</v>
      </c>
      <c r="D337" s="716" t="s">
        <v>3608</v>
      </c>
      <c r="E337" s="716" t="s">
        <v>3607</v>
      </c>
      <c r="F337" s="720"/>
      <c r="G337" s="720"/>
      <c r="H337" s="720"/>
      <c r="I337" s="720"/>
      <c r="J337" s="720"/>
      <c r="K337" s="720"/>
      <c r="L337" s="720"/>
      <c r="M337" s="720"/>
      <c r="N337" s="720">
        <v>4</v>
      </c>
      <c r="O337" s="720">
        <v>7117</v>
      </c>
      <c r="P337" s="745"/>
      <c r="Q337" s="721">
        <v>1779.25</v>
      </c>
    </row>
    <row r="338" spans="1:17" ht="14.45" customHeight="1" x14ac:dyDescent="0.2">
      <c r="A338" s="715" t="s">
        <v>518</v>
      </c>
      <c r="B338" s="716" t="s">
        <v>3028</v>
      </c>
      <c r="C338" s="716" t="s">
        <v>3579</v>
      </c>
      <c r="D338" s="716" t="s">
        <v>3609</v>
      </c>
      <c r="E338" s="716" t="s">
        <v>3610</v>
      </c>
      <c r="F338" s="720">
        <v>2</v>
      </c>
      <c r="G338" s="720">
        <v>999.06</v>
      </c>
      <c r="H338" s="720"/>
      <c r="I338" s="720">
        <v>499.53</v>
      </c>
      <c r="J338" s="720"/>
      <c r="K338" s="720"/>
      <c r="L338" s="720"/>
      <c r="M338" s="720"/>
      <c r="N338" s="720"/>
      <c r="O338" s="720"/>
      <c r="P338" s="745"/>
      <c r="Q338" s="721"/>
    </row>
    <row r="339" spans="1:17" ht="14.45" customHeight="1" x14ac:dyDescent="0.2">
      <c r="A339" s="715" t="s">
        <v>518</v>
      </c>
      <c r="B339" s="716" t="s">
        <v>3028</v>
      </c>
      <c r="C339" s="716" t="s">
        <v>3579</v>
      </c>
      <c r="D339" s="716" t="s">
        <v>3611</v>
      </c>
      <c r="E339" s="716" t="s">
        <v>3612</v>
      </c>
      <c r="F339" s="720">
        <v>1</v>
      </c>
      <c r="G339" s="720">
        <v>9657.8700000000008</v>
      </c>
      <c r="H339" s="720"/>
      <c r="I339" s="720">
        <v>9657.8700000000008</v>
      </c>
      <c r="J339" s="720"/>
      <c r="K339" s="720"/>
      <c r="L339" s="720"/>
      <c r="M339" s="720"/>
      <c r="N339" s="720"/>
      <c r="O339" s="720"/>
      <c r="P339" s="745"/>
      <c r="Q339" s="721"/>
    </row>
    <row r="340" spans="1:17" ht="14.45" customHeight="1" x14ac:dyDescent="0.2">
      <c r="A340" s="715" t="s">
        <v>518</v>
      </c>
      <c r="B340" s="716" t="s">
        <v>3028</v>
      </c>
      <c r="C340" s="716" t="s">
        <v>3579</v>
      </c>
      <c r="D340" s="716" t="s">
        <v>3613</v>
      </c>
      <c r="E340" s="716" t="s">
        <v>3588</v>
      </c>
      <c r="F340" s="720">
        <v>11</v>
      </c>
      <c r="G340" s="720">
        <v>759.22</v>
      </c>
      <c r="H340" s="720">
        <v>2.7500000000000004</v>
      </c>
      <c r="I340" s="720">
        <v>69.02</v>
      </c>
      <c r="J340" s="720">
        <v>4</v>
      </c>
      <c r="K340" s="720">
        <v>276.08</v>
      </c>
      <c r="L340" s="720">
        <v>1</v>
      </c>
      <c r="M340" s="720">
        <v>69.02</v>
      </c>
      <c r="N340" s="720">
        <v>5</v>
      </c>
      <c r="O340" s="720">
        <v>294.85000000000002</v>
      </c>
      <c r="P340" s="745">
        <v>1.0679875398435237</v>
      </c>
      <c r="Q340" s="721">
        <v>58.970000000000006</v>
      </c>
    </row>
    <row r="341" spans="1:17" ht="14.45" customHeight="1" x14ac:dyDescent="0.2">
      <c r="A341" s="715" t="s">
        <v>518</v>
      </c>
      <c r="B341" s="716" t="s">
        <v>3028</v>
      </c>
      <c r="C341" s="716" t="s">
        <v>3579</v>
      </c>
      <c r="D341" s="716" t="s">
        <v>3614</v>
      </c>
      <c r="E341" s="716" t="s">
        <v>3615</v>
      </c>
      <c r="F341" s="720">
        <v>6.34</v>
      </c>
      <c r="G341" s="720">
        <v>1521.6</v>
      </c>
      <c r="H341" s="720"/>
      <c r="I341" s="720">
        <v>240</v>
      </c>
      <c r="J341" s="720"/>
      <c r="K341" s="720"/>
      <c r="L341" s="720"/>
      <c r="M341" s="720"/>
      <c r="N341" s="720"/>
      <c r="O341" s="720"/>
      <c r="P341" s="745"/>
      <c r="Q341" s="721"/>
    </row>
    <row r="342" spans="1:17" ht="14.45" customHeight="1" x14ac:dyDescent="0.2">
      <c r="A342" s="715" t="s">
        <v>518</v>
      </c>
      <c r="B342" s="716" t="s">
        <v>3028</v>
      </c>
      <c r="C342" s="716" t="s">
        <v>3579</v>
      </c>
      <c r="D342" s="716" t="s">
        <v>3616</v>
      </c>
      <c r="E342" s="716" t="s">
        <v>3615</v>
      </c>
      <c r="F342" s="720">
        <v>0.34</v>
      </c>
      <c r="G342" s="720">
        <v>413.44</v>
      </c>
      <c r="H342" s="720"/>
      <c r="I342" s="720">
        <v>1216</v>
      </c>
      <c r="J342" s="720"/>
      <c r="K342" s="720"/>
      <c r="L342" s="720"/>
      <c r="M342" s="720"/>
      <c r="N342" s="720"/>
      <c r="O342" s="720"/>
      <c r="P342" s="745"/>
      <c r="Q342" s="721"/>
    </row>
    <row r="343" spans="1:17" ht="14.45" customHeight="1" x14ac:dyDescent="0.2">
      <c r="A343" s="715" t="s">
        <v>518</v>
      </c>
      <c r="B343" s="716" t="s">
        <v>3028</v>
      </c>
      <c r="C343" s="716" t="s">
        <v>3579</v>
      </c>
      <c r="D343" s="716" t="s">
        <v>3617</v>
      </c>
      <c r="E343" s="716" t="s">
        <v>3618</v>
      </c>
      <c r="F343" s="720">
        <v>2</v>
      </c>
      <c r="G343" s="720">
        <v>13118.8</v>
      </c>
      <c r="H343" s="720">
        <v>2</v>
      </c>
      <c r="I343" s="720">
        <v>6559.4</v>
      </c>
      <c r="J343" s="720">
        <v>1</v>
      </c>
      <c r="K343" s="720">
        <v>6559.4</v>
      </c>
      <c r="L343" s="720">
        <v>1</v>
      </c>
      <c r="M343" s="720">
        <v>6559.4</v>
      </c>
      <c r="N343" s="720"/>
      <c r="O343" s="720"/>
      <c r="P343" s="745"/>
      <c r="Q343" s="721"/>
    </row>
    <row r="344" spans="1:17" ht="14.45" customHeight="1" x14ac:dyDescent="0.2">
      <c r="A344" s="715" t="s">
        <v>518</v>
      </c>
      <c r="B344" s="716" t="s">
        <v>3028</v>
      </c>
      <c r="C344" s="716" t="s">
        <v>3579</v>
      </c>
      <c r="D344" s="716" t="s">
        <v>3619</v>
      </c>
      <c r="E344" s="716" t="s">
        <v>3620</v>
      </c>
      <c r="F344" s="720"/>
      <c r="G344" s="720"/>
      <c r="H344" s="720"/>
      <c r="I344" s="720"/>
      <c r="J344" s="720"/>
      <c r="K344" s="720"/>
      <c r="L344" s="720"/>
      <c r="M344" s="720"/>
      <c r="N344" s="720">
        <v>1</v>
      </c>
      <c r="O344" s="720">
        <v>4880</v>
      </c>
      <c r="P344" s="745"/>
      <c r="Q344" s="721">
        <v>4880</v>
      </c>
    </row>
    <row r="345" spans="1:17" ht="14.45" customHeight="1" x14ac:dyDescent="0.2">
      <c r="A345" s="715" t="s">
        <v>518</v>
      </c>
      <c r="B345" s="716" t="s">
        <v>3028</v>
      </c>
      <c r="C345" s="716" t="s">
        <v>3579</v>
      </c>
      <c r="D345" s="716" t="s">
        <v>3621</v>
      </c>
      <c r="E345" s="716" t="s">
        <v>3622</v>
      </c>
      <c r="F345" s="720"/>
      <c r="G345" s="720"/>
      <c r="H345" s="720"/>
      <c r="I345" s="720"/>
      <c r="J345" s="720"/>
      <c r="K345" s="720"/>
      <c r="L345" s="720"/>
      <c r="M345" s="720"/>
      <c r="N345" s="720">
        <v>1</v>
      </c>
      <c r="O345" s="720">
        <v>6307.7</v>
      </c>
      <c r="P345" s="745"/>
      <c r="Q345" s="721">
        <v>6307.7</v>
      </c>
    </row>
    <row r="346" spans="1:17" ht="14.45" customHeight="1" x14ac:dyDescent="0.2">
      <c r="A346" s="715" t="s">
        <v>518</v>
      </c>
      <c r="B346" s="716" t="s">
        <v>3028</v>
      </c>
      <c r="C346" s="716" t="s">
        <v>3579</v>
      </c>
      <c r="D346" s="716" t="s">
        <v>3623</v>
      </c>
      <c r="E346" s="716" t="s">
        <v>3624</v>
      </c>
      <c r="F346" s="720"/>
      <c r="G346" s="720"/>
      <c r="H346" s="720"/>
      <c r="I346" s="720"/>
      <c r="J346" s="720">
        <v>1</v>
      </c>
      <c r="K346" s="720">
        <v>230.07</v>
      </c>
      <c r="L346" s="720">
        <v>1</v>
      </c>
      <c r="M346" s="720">
        <v>230.07</v>
      </c>
      <c r="N346" s="720"/>
      <c r="O346" s="720"/>
      <c r="P346" s="745"/>
      <c r="Q346" s="721"/>
    </row>
    <row r="347" spans="1:17" ht="14.45" customHeight="1" x14ac:dyDescent="0.2">
      <c r="A347" s="715" t="s">
        <v>518</v>
      </c>
      <c r="B347" s="716" t="s">
        <v>3028</v>
      </c>
      <c r="C347" s="716" t="s">
        <v>3579</v>
      </c>
      <c r="D347" s="716" t="s">
        <v>3625</v>
      </c>
      <c r="E347" s="716" t="s">
        <v>3626</v>
      </c>
      <c r="F347" s="720"/>
      <c r="G347" s="720"/>
      <c r="H347" s="720"/>
      <c r="I347" s="720"/>
      <c r="J347" s="720">
        <v>1</v>
      </c>
      <c r="K347" s="720">
        <v>217.64</v>
      </c>
      <c r="L347" s="720">
        <v>1</v>
      </c>
      <c r="M347" s="720">
        <v>217.64</v>
      </c>
      <c r="N347" s="720">
        <v>2</v>
      </c>
      <c r="O347" s="720">
        <v>370.4</v>
      </c>
      <c r="P347" s="745">
        <v>1.7018930343686822</v>
      </c>
      <c r="Q347" s="721">
        <v>185.2</v>
      </c>
    </row>
    <row r="348" spans="1:17" ht="14.45" customHeight="1" x14ac:dyDescent="0.2">
      <c r="A348" s="715" t="s">
        <v>518</v>
      </c>
      <c r="B348" s="716" t="s">
        <v>3028</v>
      </c>
      <c r="C348" s="716" t="s">
        <v>3579</v>
      </c>
      <c r="D348" s="716" t="s">
        <v>3627</v>
      </c>
      <c r="E348" s="716" t="s">
        <v>3626</v>
      </c>
      <c r="F348" s="720"/>
      <c r="G348" s="720"/>
      <c r="H348" s="720"/>
      <c r="I348" s="720"/>
      <c r="J348" s="720">
        <v>4</v>
      </c>
      <c r="K348" s="720">
        <v>1061.24</v>
      </c>
      <c r="L348" s="720">
        <v>1</v>
      </c>
      <c r="M348" s="720">
        <v>265.31</v>
      </c>
      <c r="N348" s="720">
        <v>1</v>
      </c>
      <c r="O348" s="720">
        <v>226.12</v>
      </c>
      <c r="P348" s="745">
        <v>0.21307150126267385</v>
      </c>
      <c r="Q348" s="721">
        <v>226.12</v>
      </c>
    </row>
    <row r="349" spans="1:17" ht="14.45" customHeight="1" x14ac:dyDescent="0.2">
      <c r="A349" s="715" t="s">
        <v>518</v>
      </c>
      <c r="B349" s="716" t="s">
        <v>3028</v>
      </c>
      <c r="C349" s="716" t="s">
        <v>3579</v>
      </c>
      <c r="D349" s="716" t="s">
        <v>3628</v>
      </c>
      <c r="E349" s="716" t="s">
        <v>3588</v>
      </c>
      <c r="F349" s="720">
        <v>1</v>
      </c>
      <c r="G349" s="720">
        <v>172.04</v>
      </c>
      <c r="H349" s="720"/>
      <c r="I349" s="720">
        <v>172.04</v>
      </c>
      <c r="J349" s="720"/>
      <c r="K349" s="720"/>
      <c r="L349" s="720"/>
      <c r="M349" s="720"/>
      <c r="N349" s="720"/>
      <c r="O349" s="720"/>
      <c r="P349" s="745"/>
      <c r="Q349" s="721"/>
    </row>
    <row r="350" spans="1:17" ht="14.45" customHeight="1" x14ac:dyDescent="0.2">
      <c r="A350" s="715" t="s">
        <v>518</v>
      </c>
      <c r="B350" s="716" t="s">
        <v>3028</v>
      </c>
      <c r="C350" s="716" t="s">
        <v>3579</v>
      </c>
      <c r="D350" s="716" t="s">
        <v>3629</v>
      </c>
      <c r="E350" s="716" t="s">
        <v>3588</v>
      </c>
      <c r="F350" s="720">
        <v>5</v>
      </c>
      <c r="G350" s="720">
        <v>450.8</v>
      </c>
      <c r="H350" s="720"/>
      <c r="I350" s="720">
        <v>90.16</v>
      </c>
      <c r="J350" s="720"/>
      <c r="K350" s="720"/>
      <c r="L350" s="720"/>
      <c r="M350" s="720"/>
      <c r="N350" s="720"/>
      <c r="O350" s="720"/>
      <c r="P350" s="745"/>
      <c r="Q350" s="721"/>
    </row>
    <row r="351" spans="1:17" ht="14.45" customHeight="1" x14ac:dyDescent="0.2">
      <c r="A351" s="715" t="s">
        <v>518</v>
      </c>
      <c r="B351" s="716" t="s">
        <v>3028</v>
      </c>
      <c r="C351" s="716" t="s">
        <v>3579</v>
      </c>
      <c r="D351" s="716" t="s">
        <v>3630</v>
      </c>
      <c r="E351" s="716" t="s">
        <v>3631</v>
      </c>
      <c r="F351" s="720"/>
      <c r="G351" s="720"/>
      <c r="H351" s="720"/>
      <c r="I351" s="720"/>
      <c r="J351" s="720"/>
      <c r="K351" s="720"/>
      <c r="L351" s="720"/>
      <c r="M351" s="720"/>
      <c r="N351" s="720">
        <v>1</v>
      </c>
      <c r="O351" s="720">
        <v>4312.5</v>
      </c>
      <c r="P351" s="745"/>
      <c r="Q351" s="721">
        <v>4312.5</v>
      </c>
    </row>
    <row r="352" spans="1:17" ht="14.45" customHeight="1" x14ac:dyDescent="0.2">
      <c r="A352" s="715" t="s">
        <v>518</v>
      </c>
      <c r="B352" s="716" t="s">
        <v>3028</v>
      </c>
      <c r="C352" s="716" t="s">
        <v>3579</v>
      </c>
      <c r="D352" s="716" t="s">
        <v>3632</v>
      </c>
      <c r="E352" s="716" t="s">
        <v>3633</v>
      </c>
      <c r="F352" s="720">
        <v>2</v>
      </c>
      <c r="G352" s="720">
        <v>2972.3</v>
      </c>
      <c r="H352" s="720">
        <v>2</v>
      </c>
      <c r="I352" s="720">
        <v>1486.15</v>
      </c>
      <c r="J352" s="720">
        <v>1</v>
      </c>
      <c r="K352" s="720">
        <v>1486.15</v>
      </c>
      <c r="L352" s="720">
        <v>1</v>
      </c>
      <c r="M352" s="720">
        <v>1486.15</v>
      </c>
      <c r="N352" s="720">
        <v>3</v>
      </c>
      <c r="O352" s="720">
        <v>4458.4500000000007</v>
      </c>
      <c r="P352" s="745">
        <v>3.0000000000000004</v>
      </c>
      <c r="Q352" s="721">
        <v>1486.1500000000003</v>
      </c>
    </row>
    <row r="353" spans="1:17" ht="14.45" customHeight="1" x14ac:dyDescent="0.2">
      <c r="A353" s="715" t="s">
        <v>518</v>
      </c>
      <c r="B353" s="716" t="s">
        <v>3028</v>
      </c>
      <c r="C353" s="716" t="s">
        <v>3579</v>
      </c>
      <c r="D353" s="716" t="s">
        <v>3634</v>
      </c>
      <c r="E353" s="716" t="s">
        <v>3635</v>
      </c>
      <c r="F353" s="720"/>
      <c r="G353" s="720"/>
      <c r="H353" s="720"/>
      <c r="I353" s="720"/>
      <c r="J353" s="720"/>
      <c r="K353" s="720"/>
      <c r="L353" s="720"/>
      <c r="M353" s="720"/>
      <c r="N353" s="720">
        <v>1</v>
      </c>
      <c r="O353" s="720">
        <v>2493.2800000000002</v>
      </c>
      <c r="P353" s="745"/>
      <c r="Q353" s="721">
        <v>2493.2800000000002</v>
      </c>
    </row>
    <row r="354" spans="1:17" ht="14.45" customHeight="1" x14ac:dyDescent="0.2">
      <c r="A354" s="715" t="s">
        <v>518</v>
      </c>
      <c r="B354" s="716" t="s">
        <v>3028</v>
      </c>
      <c r="C354" s="716" t="s">
        <v>3579</v>
      </c>
      <c r="D354" s="716" t="s">
        <v>3636</v>
      </c>
      <c r="E354" s="716" t="s">
        <v>3637</v>
      </c>
      <c r="F354" s="720"/>
      <c r="G354" s="720"/>
      <c r="H354" s="720"/>
      <c r="I354" s="720"/>
      <c r="J354" s="720"/>
      <c r="K354" s="720"/>
      <c r="L354" s="720"/>
      <c r="M354" s="720"/>
      <c r="N354" s="720">
        <v>2.1</v>
      </c>
      <c r="O354" s="720">
        <v>5088.51</v>
      </c>
      <c r="P354" s="745"/>
      <c r="Q354" s="721">
        <v>2423.1</v>
      </c>
    </row>
    <row r="355" spans="1:17" ht="14.45" customHeight="1" x14ac:dyDescent="0.2">
      <c r="A355" s="715" t="s">
        <v>518</v>
      </c>
      <c r="B355" s="716" t="s">
        <v>3028</v>
      </c>
      <c r="C355" s="716" t="s">
        <v>3579</v>
      </c>
      <c r="D355" s="716" t="s">
        <v>3638</v>
      </c>
      <c r="E355" s="716" t="s">
        <v>3639</v>
      </c>
      <c r="F355" s="720"/>
      <c r="G355" s="720"/>
      <c r="H355" s="720"/>
      <c r="I355" s="720"/>
      <c r="J355" s="720"/>
      <c r="K355" s="720"/>
      <c r="L355" s="720"/>
      <c r="M355" s="720"/>
      <c r="N355" s="720">
        <v>2</v>
      </c>
      <c r="O355" s="720">
        <v>3465.6</v>
      </c>
      <c r="P355" s="745"/>
      <c r="Q355" s="721">
        <v>1732.8</v>
      </c>
    </row>
    <row r="356" spans="1:17" ht="14.45" customHeight="1" x14ac:dyDescent="0.2">
      <c r="A356" s="715" t="s">
        <v>518</v>
      </c>
      <c r="B356" s="716" t="s">
        <v>3028</v>
      </c>
      <c r="C356" s="716" t="s">
        <v>3579</v>
      </c>
      <c r="D356" s="716" t="s">
        <v>3640</v>
      </c>
      <c r="E356" s="716" t="s">
        <v>3641</v>
      </c>
      <c r="F356" s="720"/>
      <c r="G356" s="720"/>
      <c r="H356" s="720"/>
      <c r="I356" s="720"/>
      <c r="J356" s="720">
        <v>1</v>
      </c>
      <c r="K356" s="720">
        <v>1247.78</v>
      </c>
      <c r="L356" s="720">
        <v>1</v>
      </c>
      <c r="M356" s="720">
        <v>1247.78</v>
      </c>
      <c r="N356" s="720">
        <v>4</v>
      </c>
      <c r="O356" s="720">
        <v>4265.32</v>
      </c>
      <c r="P356" s="745">
        <v>3.4183269486608214</v>
      </c>
      <c r="Q356" s="721">
        <v>1066.33</v>
      </c>
    </row>
    <row r="357" spans="1:17" ht="14.45" customHeight="1" x14ac:dyDescent="0.2">
      <c r="A357" s="715" t="s">
        <v>518</v>
      </c>
      <c r="B357" s="716" t="s">
        <v>3028</v>
      </c>
      <c r="C357" s="716" t="s">
        <v>3579</v>
      </c>
      <c r="D357" s="716" t="s">
        <v>3642</v>
      </c>
      <c r="E357" s="716" t="s">
        <v>3641</v>
      </c>
      <c r="F357" s="720"/>
      <c r="G357" s="720"/>
      <c r="H357" s="720"/>
      <c r="I357" s="720"/>
      <c r="J357" s="720">
        <v>2</v>
      </c>
      <c r="K357" s="720">
        <v>2843.78</v>
      </c>
      <c r="L357" s="720">
        <v>1</v>
      </c>
      <c r="M357" s="720">
        <v>1421.89</v>
      </c>
      <c r="N357" s="720">
        <v>4</v>
      </c>
      <c r="O357" s="720">
        <v>4861.84</v>
      </c>
      <c r="P357" s="745">
        <v>1.70963998621553</v>
      </c>
      <c r="Q357" s="721">
        <v>1215.46</v>
      </c>
    </row>
    <row r="358" spans="1:17" ht="14.45" customHeight="1" x14ac:dyDescent="0.2">
      <c r="A358" s="715" t="s">
        <v>518</v>
      </c>
      <c r="B358" s="716" t="s">
        <v>3028</v>
      </c>
      <c r="C358" s="716" t="s">
        <v>3579</v>
      </c>
      <c r="D358" s="716" t="s">
        <v>3643</v>
      </c>
      <c r="E358" s="716" t="s">
        <v>3641</v>
      </c>
      <c r="F358" s="720"/>
      <c r="G358" s="720"/>
      <c r="H358" s="720"/>
      <c r="I358" s="720"/>
      <c r="J358" s="720">
        <v>4</v>
      </c>
      <c r="K358" s="720">
        <v>6624.44</v>
      </c>
      <c r="L358" s="720">
        <v>1</v>
      </c>
      <c r="M358" s="720">
        <v>1656.11</v>
      </c>
      <c r="N358" s="720">
        <v>4</v>
      </c>
      <c r="O358" s="720">
        <v>5661.04</v>
      </c>
      <c r="P358" s="745">
        <v>0.85456883902639325</v>
      </c>
      <c r="Q358" s="721">
        <v>1415.26</v>
      </c>
    </row>
    <row r="359" spans="1:17" ht="14.45" customHeight="1" x14ac:dyDescent="0.2">
      <c r="A359" s="715" t="s">
        <v>518</v>
      </c>
      <c r="B359" s="716" t="s">
        <v>3028</v>
      </c>
      <c r="C359" s="716" t="s">
        <v>3579</v>
      </c>
      <c r="D359" s="716" t="s">
        <v>3644</v>
      </c>
      <c r="E359" s="716" t="s">
        <v>3645</v>
      </c>
      <c r="F359" s="720">
        <v>3</v>
      </c>
      <c r="G359" s="720">
        <v>4259.46</v>
      </c>
      <c r="H359" s="720">
        <v>1</v>
      </c>
      <c r="I359" s="720">
        <v>1419.82</v>
      </c>
      <c r="J359" s="720">
        <v>3</v>
      </c>
      <c r="K359" s="720">
        <v>4259.46</v>
      </c>
      <c r="L359" s="720">
        <v>1</v>
      </c>
      <c r="M359" s="720">
        <v>1419.82</v>
      </c>
      <c r="N359" s="720"/>
      <c r="O359" s="720"/>
      <c r="P359" s="745"/>
      <c r="Q359" s="721"/>
    </row>
    <row r="360" spans="1:17" ht="14.45" customHeight="1" x14ac:dyDescent="0.2">
      <c r="A360" s="715" t="s">
        <v>518</v>
      </c>
      <c r="B360" s="716" t="s">
        <v>3028</v>
      </c>
      <c r="C360" s="716" t="s">
        <v>3579</v>
      </c>
      <c r="D360" s="716" t="s">
        <v>3646</v>
      </c>
      <c r="E360" s="716" t="s">
        <v>3645</v>
      </c>
      <c r="F360" s="720">
        <v>2</v>
      </c>
      <c r="G360" s="720">
        <v>3094.58</v>
      </c>
      <c r="H360" s="720">
        <v>0.4</v>
      </c>
      <c r="I360" s="720">
        <v>1547.29</v>
      </c>
      <c r="J360" s="720">
        <v>5</v>
      </c>
      <c r="K360" s="720">
        <v>7736.45</v>
      </c>
      <c r="L360" s="720">
        <v>1</v>
      </c>
      <c r="M360" s="720">
        <v>1547.29</v>
      </c>
      <c r="N360" s="720"/>
      <c r="O360" s="720"/>
      <c r="P360" s="745"/>
      <c r="Q360" s="721"/>
    </row>
    <row r="361" spans="1:17" ht="14.45" customHeight="1" x14ac:dyDescent="0.2">
      <c r="A361" s="715" t="s">
        <v>518</v>
      </c>
      <c r="B361" s="716" t="s">
        <v>3028</v>
      </c>
      <c r="C361" s="716" t="s">
        <v>3579</v>
      </c>
      <c r="D361" s="716" t="s">
        <v>3647</v>
      </c>
      <c r="E361" s="716" t="s">
        <v>3645</v>
      </c>
      <c r="F361" s="720"/>
      <c r="G361" s="720"/>
      <c r="H361" s="720"/>
      <c r="I361" s="720"/>
      <c r="J361" s="720">
        <v>1</v>
      </c>
      <c r="K361" s="720">
        <v>1644.71</v>
      </c>
      <c r="L361" s="720">
        <v>1</v>
      </c>
      <c r="M361" s="720">
        <v>1644.71</v>
      </c>
      <c r="N361" s="720"/>
      <c r="O361" s="720"/>
      <c r="P361" s="745"/>
      <c r="Q361" s="721"/>
    </row>
    <row r="362" spans="1:17" ht="14.45" customHeight="1" x14ac:dyDescent="0.2">
      <c r="A362" s="715" t="s">
        <v>518</v>
      </c>
      <c r="B362" s="716" t="s">
        <v>3028</v>
      </c>
      <c r="C362" s="716" t="s">
        <v>3579</v>
      </c>
      <c r="D362" s="716" t="s">
        <v>3648</v>
      </c>
      <c r="E362" s="716" t="s">
        <v>3649</v>
      </c>
      <c r="F362" s="720"/>
      <c r="G362" s="720"/>
      <c r="H362" s="720"/>
      <c r="I362" s="720"/>
      <c r="J362" s="720"/>
      <c r="K362" s="720"/>
      <c r="L362" s="720"/>
      <c r="M362" s="720"/>
      <c r="N362" s="720">
        <v>1</v>
      </c>
      <c r="O362" s="720">
        <v>1738.87</v>
      </c>
      <c r="P362" s="745"/>
      <c r="Q362" s="721">
        <v>1738.87</v>
      </c>
    </row>
    <row r="363" spans="1:17" ht="14.45" customHeight="1" x14ac:dyDescent="0.2">
      <c r="A363" s="715" t="s">
        <v>518</v>
      </c>
      <c r="B363" s="716" t="s">
        <v>3028</v>
      </c>
      <c r="C363" s="716" t="s">
        <v>3579</v>
      </c>
      <c r="D363" s="716" t="s">
        <v>3650</v>
      </c>
      <c r="E363" s="716" t="s">
        <v>3649</v>
      </c>
      <c r="F363" s="720"/>
      <c r="G363" s="720"/>
      <c r="H363" s="720"/>
      <c r="I363" s="720"/>
      <c r="J363" s="720"/>
      <c r="K363" s="720"/>
      <c r="L363" s="720"/>
      <c r="M363" s="720"/>
      <c r="N363" s="720">
        <v>1</v>
      </c>
      <c r="O363" s="720">
        <v>1904.56</v>
      </c>
      <c r="P363" s="745"/>
      <c r="Q363" s="721">
        <v>1904.56</v>
      </c>
    </row>
    <row r="364" spans="1:17" ht="14.45" customHeight="1" x14ac:dyDescent="0.2">
      <c r="A364" s="715" t="s">
        <v>518</v>
      </c>
      <c r="B364" s="716" t="s">
        <v>3028</v>
      </c>
      <c r="C364" s="716" t="s">
        <v>3579</v>
      </c>
      <c r="D364" s="716" t="s">
        <v>3651</v>
      </c>
      <c r="E364" s="716" t="s">
        <v>3652</v>
      </c>
      <c r="F364" s="720">
        <v>16.100000000000001</v>
      </c>
      <c r="G364" s="720">
        <v>12707.559999999998</v>
      </c>
      <c r="H364" s="720">
        <v>1.2384606613343829</v>
      </c>
      <c r="I364" s="720">
        <v>789.28944099378862</v>
      </c>
      <c r="J364" s="720">
        <v>13</v>
      </c>
      <c r="K364" s="720">
        <v>10260.77</v>
      </c>
      <c r="L364" s="720">
        <v>1</v>
      </c>
      <c r="M364" s="720">
        <v>789.29000000000008</v>
      </c>
      <c r="N364" s="720">
        <v>15</v>
      </c>
      <c r="O364" s="720">
        <v>11839.349999999999</v>
      </c>
      <c r="P364" s="745">
        <v>1.1538461538461537</v>
      </c>
      <c r="Q364" s="721">
        <v>789.28999999999985</v>
      </c>
    </row>
    <row r="365" spans="1:17" ht="14.45" customHeight="1" x14ac:dyDescent="0.2">
      <c r="A365" s="715" t="s">
        <v>518</v>
      </c>
      <c r="B365" s="716" t="s">
        <v>3028</v>
      </c>
      <c r="C365" s="716" t="s">
        <v>3579</v>
      </c>
      <c r="D365" s="716" t="s">
        <v>3653</v>
      </c>
      <c r="E365" s="716" t="s">
        <v>3645</v>
      </c>
      <c r="F365" s="720">
        <v>2</v>
      </c>
      <c r="G365" s="720">
        <v>2549.46</v>
      </c>
      <c r="H365" s="720">
        <v>2</v>
      </c>
      <c r="I365" s="720">
        <v>1274.73</v>
      </c>
      <c r="J365" s="720">
        <v>1</v>
      </c>
      <c r="K365" s="720">
        <v>1274.73</v>
      </c>
      <c r="L365" s="720">
        <v>1</v>
      </c>
      <c r="M365" s="720">
        <v>1274.73</v>
      </c>
      <c r="N365" s="720"/>
      <c r="O365" s="720"/>
      <c r="P365" s="745"/>
      <c r="Q365" s="721"/>
    </row>
    <row r="366" spans="1:17" ht="14.45" customHeight="1" x14ac:dyDescent="0.2">
      <c r="A366" s="715" t="s">
        <v>518</v>
      </c>
      <c r="B366" s="716" t="s">
        <v>3028</v>
      </c>
      <c r="C366" s="716" t="s">
        <v>3579</v>
      </c>
      <c r="D366" s="716" t="s">
        <v>3654</v>
      </c>
      <c r="E366" s="716" t="s">
        <v>3655</v>
      </c>
      <c r="F366" s="720">
        <v>1</v>
      </c>
      <c r="G366" s="720">
        <v>12640.53</v>
      </c>
      <c r="H366" s="720"/>
      <c r="I366" s="720">
        <v>12640.53</v>
      </c>
      <c r="J366" s="720"/>
      <c r="K366" s="720"/>
      <c r="L366" s="720"/>
      <c r="M366" s="720"/>
      <c r="N366" s="720"/>
      <c r="O366" s="720"/>
      <c r="P366" s="745"/>
      <c r="Q366" s="721"/>
    </row>
    <row r="367" spans="1:17" ht="14.45" customHeight="1" x14ac:dyDescent="0.2">
      <c r="A367" s="715" t="s">
        <v>518</v>
      </c>
      <c r="B367" s="716" t="s">
        <v>3028</v>
      </c>
      <c r="C367" s="716" t="s">
        <v>3579</v>
      </c>
      <c r="D367" s="716" t="s">
        <v>3656</v>
      </c>
      <c r="E367" s="716" t="s">
        <v>3657</v>
      </c>
      <c r="F367" s="720"/>
      <c r="G367" s="720"/>
      <c r="H367" s="720"/>
      <c r="I367" s="720"/>
      <c r="J367" s="720"/>
      <c r="K367" s="720"/>
      <c r="L367" s="720"/>
      <c r="M367" s="720"/>
      <c r="N367" s="720">
        <v>1</v>
      </c>
      <c r="O367" s="720">
        <v>935.72</v>
      </c>
      <c r="P367" s="745"/>
      <c r="Q367" s="721">
        <v>935.72</v>
      </c>
    </row>
    <row r="368" spans="1:17" ht="14.45" customHeight="1" x14ac:dyDescent="0.2">
      <c r="A368" s="715" t="s">
        <v>518</v>
      </c>
      <c r="B368" s="716" t="s">
        <v>3028</v>
      </c>
      <c r="C368" s="716" t="s">
        <v>3579</v>
      </c>
      <c r="D368" s="716" t="s">
        <v>3658</v>
      </c>
      <c r="E368" s="716" t="s">
        <v>3659</v>
      </c>
      <c r="F368" s="720"/>
      <c r="G368" s="720"/>
      <c r="H368" s="720"/>
      <c r="I368" s="720"/>
      <c r="J368" s="720"/>
      <c r="K368" s="720"/>
      <c r="L368" s="720"/>
      <c r="M368" s="720"/>
      <c r="N368" s="720">
        <v>3</v>
      </c>
      <c r="O368" s="720">
        <v>2312.94</v>
      </c>
      <c r="P368" s="745"/>
      <c r="Q368" s="721">
        <v>770.98</v>
      </c>
    </row>
    <row r="369" spans="1:17" ht="14.45" customHeight="1" x14ac:dyDescent="0.2">
      <c r="A369" s="715" t="s">
        <v>518</v>
      </c>
      <c r="B369" s="716" t="s">
        <v>3028</v>
      </c>
      <c r="C369" s="716" t="s">
        <v>3579</v>
      </c>
      <c r="D369" s="716" t="s">
        <v>3660</v>
      </c>
      <c r="E369" s="716" t="s">
        <v>3659</v>
      </c>
      <c r="F369" s="720"/>
      <c r="G369" s="720"/>
      <c r="H369" s="720"/>
      <c r="I369" s="720"/>
      <c r="J369" s="720">
        <v>9</v>
      </c>
      <c r="K369" s="720">
        <v>9264.7800000000007</v>
      </c>
      <c r="L369" s="720">
        <v>1</v>
      </c>
      <c r="M369" s="720">
        <v>1029.42</v>
      </c>
      <c r="N369" s="720"/>
      <c r="O369" s="720"/>
      <c r="P369" s="745"/>
      <c r="Q369" s="721"/>
    </row>
    <row r="370" spans="1:17" ht="14.45" customHeight="1" x14ac:dyDescent="0.2">
      <c r="A370" s="715" t="s">
        <v>518</v>
      </c>
      <c r="B370" s="716" t="s">
        <v>3028</v>
      </c>
      <c r="C370" s="716" t="s">
        <v>3579</v>
      </c>
      <c r="D370" s="716" t="s">
        <v>3661</v>
      </c>
      <c r="E370" s="716" t="s">
        <v>3662</v>
      </c>
      <c r="F370" s="720"/>
      <c r="G370" s="720"/>
      <c r="H370" s="720"/>
      <c r="I370" s="720"/>
      <c r="J370" s="720"/>
      <c r="K370" s="720"/>
      <c r="L370" s="720"/>
      <c r="M370" s="720"/>
      <c r="N370" s="720">
        <v>1</v>
      </c>
      <c r="O370" s="720">
        <v>8126.07</v>
      </c>
      <c r="P370" s="745"/>
      <c r="Q370" s="721">
        <v>8126.07</v>
      </c>
    </row>
    <row r="371" spans="1:17" ht="14.45" customHeight="1" x14ac:dyDescent="0.2">
      <c r="A371" s="715" t="s">
        <v>518</v>
      </c>
      <c r="B371" s="716" t="s">
        <v>3028</v>
      </c>
      <c r="C371" s="716" t="s">
        <v>3579</v>
      </c>
      <c r="D371" s="716" t="s">
        <v>3663</v>
      </c>
      <c r="E371" s="716" t="s">
        <v>3664</v>
      </c>
      <c r="F371" s="720">
        <v>2</v>
      </c>
      <c r="G371" s="720">
        <v>57900</v>
      </c>
      <c r="H371" s="720"/>
      <c r="I371" s="720">
        <v>28950</v>
      </c>
      <c r="J371" s="720"/>
      <c r="K371" s="720"/>
      <c r="L371" s="720"/>
      <c r="M371" s="720"/>
      <c r="N371" s="720"/>
      <c r="O371" s="720"/>
      <c r="P371" s="745"/>
      <c r="Q371" s="721"/>
    </row>
    <row r="372" spans="1:17" ht="14.45" customHeight="1" x14ac:dyDescent="0.2">
      <c r="A372" s="715" t="s">
        <v>518</v>
      </c>
      <c r="B372" s="716" t="s">
        <v>3028</v>
      </c>
      <c r="C372" s="716" t="s">
        <v>3579</v>
      </c>
      <c r="D372" s="716" t="s">
        <v>3665</v>
      </c>
      <c r="E372" s="716" t="s">
        <v>3666</v>
      </c>
      <c r="F372" s="720">
        <v>2</v>
      </c>
      <c r="G372" s="720">
        <v>120198</v>
      </c>
      <c r="H372" s="720"/>
      <c r="I372" s="720">
        <v>60099</v>
      </c>
      <c r="J372" s="720"/>
      <c r="K372" s="720"/>
      <c r="L372" s="720"/>
      <c r="M372" s="720"/>
      <c r="N372" s="720"/>
      <c r="O372" s="720"/>
      <c r="P372" s="745"/>
      <c r="Q372" s="721"/>
    </row>
    <row r="373" spans="1:17" ht="14.45" customHeight="1" x14ac:dyDescent="0.2">
      <c r="A373" s="715" t="s">
        <v>518</v>
      </c>
      <c r="B373" s="716" t="s">
        <v>3028</v>
      </c>
      <c r="C373" s="716" t="s">
        <v>3579</v>
      </c>
      <c r="D373" s="716" t="s">
        <v>3667</v>
      </c>
      <c r="E373" s="716" t="s">
        <v>3668</v>
      </c>
      <c r="F373" s="720">
        <v>1</v>
      </c>
      <c r="G373" s="720">
        <v>1707.31</v>
      </c>
      <c r="H373" s="720"/>
      <c r="I373" s="720">
        <v>1707.31</v>
      </c>
      <c r="J373" s="720"/>
      <c r="K373" s="720"/>
      <c r="L373" s="720"/>
      <c r="M373" s="720"/>
      <c r="N373" s="720"/>
      <c r="O373" s="720"/>
      <c r="P373" s="745"/>
      <c r="Q373" s="721"/>
    </row>
    <row r="374" spans="1:17" ht="14.45" customHeight="1" x14ac:dyDescent="0.2">
      <c r="A374" s="715" t="s">
        <v>518</v>
      </c>
      <c r="B374" s="716" t="s">
        <v>3028</v>
      </c>
      <c r="C374" s="716" t="s">
        <v>3579</v>
      </c>
      <c r="D374" s="716" t="s">
        <v>3669</v>
      </c>
      <c r="E374" s="716" t="s">
        <v>3670</v>
      </c>
      <c r="F374" s="720"/>
      <c r="G374" s="720"/>
      <c r="H374" s="720"/>
      <c r="I374" s="720"/>
      <c r="J374" s="720">
        <v>2</v>
      </c>
      <c r="K374" s="720">
        <v>8985.3799999999992</v>
      </c>
      <c r="L374" s="720">
        <v>1</v>
      </c>
      <c r="M374" s="720">
        <v>4492.6899999999996</v>
      </c>
      <c r="N374" s="720"/>
      <c r="O374" s="720"/>
      <c r="P374" s="745"/>
      <c r="Q374" s="721"/>
    </row>
    <row r="375" spans="1:17" ht="14.45" customHeight="1" x14ac:dyDescent="0.2">
      <c r="A375" s="715" t="s">
        <v>518</v>
      </c>
      <c r="B375" s="716" t="s">
        <v>3028</v>
      </c>
      <c r="C375" s="716" t="s">
        <v>3579</v>
      </c>
      <c r="D375" s="716" t="s">
        <v>3671</v>
      </c>
      <c r="E375" s="716" t="s">
        <v>3672</v>
      </c>
      <c r="F375" s="720">
        <v>6</v>
      </c>
      <c r="G375" s="720">
        <v>3824.16</v>
      </c>
      <c r="H375" s="720">
        <v>6</v>
      </c>
      <c r="I375" s="720">
        <v>637.36</v>
      </c>
      <c r="J375" s="720">
        <v>1</v>
      </c>
      <c r="K375" s="720">
        <v>637.36</v>
      </c>
      <c r="L375" s="720">
        <v>1</v>
      </c>
      <c r="M375" s="720">
        <v>637.36</v>
      </c>
      <c r="N375" s="720"/>
      <c r="O375" s="720"/>
      <c r="P375" s="745"/>
      <c r="Q375" s="721"/>
    </row>
    <row r="376" spans="1:17" ht="14.45" customHeight="1" x14ac:dyDescent="0.2">
      <c r="A376" s="715" t="s">
        <v>518</v>
      </c>
      <c r="B376" s="716" t="s">
        <v>3028</v>
      </c>
      <c r="C376" s="716" t="s">
        <v>3579</v>
      </c>
      <c r="D376" s="716" t="s">
        <v>3673</v>
      </c>
      <c r="E376" s="716" t="s">
        <v>3674</v>
      </c>
      <c r="F376" s="720">
        <v>1</v>
      </c>
      <c r="G376" s="720">
        <v>595</v>
      </c>
      <c r="H376" s="720"/>
      <c r="I376" s="720">
        <v>595</v>
      </c>
      <c r="J376" s="720"/>
      <c r="K376" s="720"/>
      <c r="L376" s="720"/>
      <c r="M376" s="720"/>
      <c r="N376" s="720"/>
      <c r="O376" s="720"/>
      <c r="P376" s="745"/>
      <c r="Q376" s="721"/>
    </row>
    <row r="377" spans="1:17" ht="14.45" customHeight="1" x14ac:dyDescent="0.2">
      <c r="A377" s="715" t="s">
        <v>518</v>
      </c>
      <c r="B377" s="716" t="s">
        <v>3028</v>
      </c>
      <c r="C377" s="716" t="s">
        <v>3579</v>
      </c>
      <c r="D377" s="716" t="s">
        <v>3675</v>
      </c>
      <c r="E377" s="716" t="s">
        <v>3676</v>
      </c>
      <c r="F377" s="720">
        <v>1</v>
      </c>
      <c r="G377" s="720">
        <v>11201.4</v>
      </c>
      <c r="H377" s="720"/>
      <c r="I377" s="720">
        <v>11201.4</v>
      </c>
      <c r="J377" s="720"/>
      <c r="K377" s="720"/>
      <c r="L377" s="720"/>
      <c r="M377" s="720"/>
      <c r="N377" s="720"/>
      <c r="O377" s="720"/>
      <c r="P377" s="745"/>
      <c r="Q377" s="721"/>
    </row>
    <row r="378" spans="1:17" ht="14.45" customHeight="1" x14ac:dyDescent="0.2">
      <c r="A378" s="715" t="s">
        <v>518</v>
      </c>
      <c r="B378" s="716" t="s">
        <v>3028</v>
      </c>
      <c r="C378" s="716" t="s">
        <v>3579</v>
      </c>
      <c r="D378" s="716" t="s">
        <v>3677</v>
      </c>
      <c r="E378" s="716" t="s">
        <v>3678</v>
      </c>
      <c r="F378" s="720">
        <v>1</v>
      </c>
      <c r="G378" s="720">
        <v>9701</v>
      </c>
      <c r="H378" s="720"/>
      <c r="I378" s="720">
        <v>9701</v>
      </c>
      <c r="J378" s="720"/>
      <c r="K378" s="720"/>
      <c r="L378" s="720"/>
      <c r="M378" s="720"/>
      <c r="N378" s="720"/>
      <c r="O378" s="720"/>
      <c r="P378" s="745"/>
      <c r="Q378" s="721"/>
    </row>
    <row r="379" spans="1:17" ht="14.45" customHeight="1" x14ac:dyDescent="0.2">
      <c r="A379" s="715" t="s">
        <v>518</v>
      </c>
      <c r="B379" s="716" t="s">
        <v>3028</v>
      </c>
      <c r="C379" s="716" t="s">
        <v>3579</v>
      </c>
      <c r="D379" s="716" t="s">
        <v>3679</v>
      </c>
      <c r="E379" s="716" t="s">
        <v>3680</v>
      </c>
      <c r="F379" s="720">
        <v>1</v>
      </c>
      <c r="G379" s="720">
        <v>23608.2</v>
      </c>
      <c r="H379" s="720"/>
      <c r="I379" s="720">
        <v>23608.2</v>
      </c>
      <c r="J379" s="720"/>
      <c r="K379" s="720"/>
      <c r="L379" s="720"/>
      <c r="M379" s="720"/>
      <c r="N379" s="720"/>
      <c r="O379" s="720"/>
      <c r="P379" s="745"/>
      <c r="Q379" s="721"/>
    </row>
    <row r="380" spans="1:17" ht="14.45" customHeight="1" x14ac:dyDescent="0.2">
      <c r="A380" s="715" t="s">
        <v>518</v>
      </c>
      <c r="B380" s="716" t="s">
        <v>3028</v>
      </c>
      <c r="C380" s="716" t="s">
        <v>3579</v>
      </c>
      <c r="D380" s="716" t="s">
        <v>3681</v>
      </c>
      <c r="E380" s="716" t="s">
        <v>3682</v>
      </c>
      <c r="F380" s="720">
        <v>2</v>
      </c>
      <c r="G380" s="720">
        <v>447.7</v>
      </c>
      <c r="H380" s="720">
        <v>1</v>
      </c>
      <c r="I380" s="720">
        <v>223.85</v>
      </c>
      <c r="J380" s="720">
        <v>2</v>
      </c>
      <c r="K380" s="720">
        <v>447.7</v>
      </c>
      <c r="L380" s="720">
        <v>1</v>
      </c>
      <c r="M380" s="720">
        <v>223.85</v>
      </c>
      <c r="N380" s="720">
        <v>1</v>
      </c>
      <c r="O380" s="720">
        <v>223.85</v>
      </c>
      <c r="P380" s="745">
        <v>0.5</v>
      </c>
      <c r="Q380" s="721">
        <v>223.85</v>
      </c>
    </row>
    <row r="381" spans="1:17" ht="14.45" customHeight="1" x14ac:dyDescent="0.2">
      <c r="A381" s="715" t="s">
        <v>518</v>
      </c>
      <c r="B381" s="716" t="s">
        <v>3028</v>
      </c>
      <c r="C381" s="716" t="s">
        <v>3579</v>
      </c>
      <c r="D381" s="716" t="s">
        <v>3683</v>
      </c>
      <c r="E381" s="716" t="s">
        <v>3684</v>
      </c>
      <c r="F381" s="720"/>
      <c r="G381" s="720"/>
      <c r="H381" s="720"/>
      <c r="I381" s="720"/>
      <c r="J381" s="720"/>
      <c r="K381" s="720"/>
      <c r="L381" s="720"/>
      <c r="M381" s="720"/>
      <c r="N381" s="720">
        <v>1</v>
      </c>
      <c r="O381" s="720">
        <v>408.74</v>
      </c>
      <c r="P381" s="745"/>
      <c r="Q381" s="721">
        <v>408.74</v>
      </c>
    </row>
    <row r="382" spans="1:17" ht="14.45" customHeight="1" x14ac:dyDescent="0.2">
      <c r="A382" s="715" t="s">
        <v>518</v>
      </c>
      <c r="B382" s="716" t="s">
        <v>3028</v>
      </c>
      <c r="C382" s="716" t="s">
        <v>3579</v>
      </c>
      <c r="D382" s="716" t="s">
        <v>3685</v>
      </c>
      <c r="E382" s="716" t="s">
        <v>3686</v>
      </c>
      <c r="F382" s="720"/>
      <c r="G382" s="720"/>
      <c r="H382" s="720"/>
      <c r="I382" s="720"/>
      <c r="J382" s="720"/>
      <c r="K382" s="720"/>
      <c r="L382" s="720"/>
      <c r="M382" s="720"/>
      <c r="N382" s="720">
        <v>1</v>
      </c>
      <c r="O382" s="720">
        <v>2420.14</v>
      </c>
      <c r="P382" s="745"/>
      <c r="Q382" s="721">
        <v>2420.14</v>
      </c>
    </row>
    <row r="383" spans="1:17" ht="14.45" customHeight="1" x14ac:dyDescent="0.2">
      <c r="A383" s="715" t="s">
        <v>518</v>
      </c>
      <c r="B383" s="716" t="s">
        <v>3028</v>
      </c>
      <c r="C383" s="716" t="s">
        <v>3579</v>
      </c>
      <c r="D383" s="716" t="s">
        <v>3687</v>
      </c>
      <c r="E383" s="716" t="s">
        <v>3688</v>
      </c>
      <c r="F383" s="720"/>
      <c r="G383" s="720"/>
      <c r="H383" s="720"/>
      <c r="I383" s="720"/>
      <c r="J383" s="720">
        <v>1</v>
      </c>
      <c r="K383" s="720">
        <v>1410</v>
      </c>
      <c r="L383" s="720">
        <v>1</v>
      </c>
      <c r="M383" s="720">
        <v>1410</v>
      </c>
      <c r="N383" s="720"/>
      <c r="O383" s="720"/>
      <c r="P383" s="745"/>
      <c r="Q383" s="721"/>
    </row>
    <row r="384" spans="1:17" ht="14.45" customHeight="1" x14ac:dyDescent="0.2">
      <c r="A384" s="715" t="s">
        <v>518</v>
      </c>
      <c r="B384" s="716" t="s">
        <v>3028</v>
      </c>
      <c r="C384" s="716" t="s">
        <v>3579</v>
      </c>
      <c r="D384" s="716" t="s">
        <v>3689</v>
      </c>
      <c r="E384" s="716" t="s">
        <v>3690</v>
      </c>
      <c r="F384" s="720"/>
      <c r="G384" s="720"/>
      <c r="H384" s="720"/>
      <c r="I384" s="720"/>
      <c r="J384" s="720">
        <v>1</v>
      </c>
      <c r="K384" s="720">
        <v>187.97</v>
      </c>
      <c r="L384" s="720">
        <v>1</v>
      </c>
      <c r="M384" s="720">
        <v>187.97</v>
      </c>
      <c r="N384" s="720"/>
      <c r="O384" s="720"/>
      <c r="P384" s="745"/>
      <c r="Q384" s="721"/>
    </row>
    <row r="385" spans="1:17" ht="14.45" customHeight="1" x14ac:dyDescent="0.2">
      <c r="A385" s="715" t="s">
        <v>518</v>
      </c>
      <c r="B385" s="716" t="s">
        <v>3028</v>
      </c>
      <c r="C385" s="716" t="s">
        <v>3579</v>
      </c>
      <c r="D385" s="716" t="s">
        <v>3691</v>
      </c>
      <c r="E385" s="716" t="s">
        <v>3692</v>
      </c>
      <c r="F385" s="720"/>
      <c r="G385" s="720"/>
      <c r="H385" s="720"/>
      <c r="I385" s="720"/>
      <c r="J385" s="720">
        <v>1</v>
      </c>
      <c r="K385" s="720">
        <v>1665</v>
      </c>
      <c r="L385" s="720">
        <v>1</v>
      </c>
      <c r="M385" s="720">
        <v>1665</v>
      </c>
      <c r="N385" s="720"/>
      <c r="O385" s="720"/>
      <c r="P385" s="745"/>
      <c r="Q385" s="721"/>
    </row>
    <row r="386" spans="1:17" ht="14.45" customHeight="1" x14ac:dyDescent="0.2">
      <c r="A386" s="715" t="s">
        <v>518</v>
      </c>
      <c r="B386" s="716" t="s">
        <v>3028</v>
      </c>
      <c r="C386" s="716" t="s">
        <v>3579</v>
      </c>
      <c r="D386" s="716" t="s">
        <v>3693</v>
      </c>
      <c r="E386" s="716" t="s">
        <v>3694</v>
      </c>
      <c r="F386" s="720"/>
      <c r="G386" s="720"/>
      <c r="H386" s="720"/>
      <c r="I386" s="720"/>
      <c r="J386" s="720">
        <v>1</v>
      </c>
      <c r="K386" s="720">
        <v>2170.0300000000002</v>
      </c>
      <c r="L386" s="720">
        <v>1</v>
      </c>
      <c r="M386" s="720">
        <v>2170.0300000000002</v>
      </c>
      <c r="N386" s="720">
        <v>1</v>
      </c>
      <c r="O386" s="720">
        <v>1317.9</v>
      </c>
      <c r="P386" s="745">
        <v>0.60731879282774892</v>
      </c>
      <c r="Q386" s="721">
        <v>1317.9</v>
      </c>
    </row>
    <row r="387" spans="1:17" ht="14.45" customHeight="1" x14ac:dyDescent="0.2">
      <c r="A387" s="715" t="s">
        <v>518</v>
      </c>
      <c r="B387" s="716" t="s">
        <v>3028</v>
      </c>
      <c r="C387" s="716" t="s">
        <v>3579</v>
      </c>
      <c r="D387" s="716" t="s">
        <v>3695</v>
      </c>
      <c r="E387" s="716" t="s">
        <v>3696</v>
      </c>
      <c r="F387" s="720">
        <v>1</v>
      </c>
      <c r="G387" s="720">
        <v>9719.2999999999993</v>
      </c>
      <c r="H387" s="720">
        <v>0.5714364666220616</v>
      </c>
      <c r="I387" s="720">
        <v>9719.2999999999993</v>
      </c>
      <c r="J387" s="720">
        <v>2</v>
      </c>
      <c r="K387" s="720">
        <v>17008.54</v>
      </c>
      <c r="L387" s="720">
        <v>1</v>
      </c>
      <c r="M387" s="720">
        <v>8504.27</v>
      </c>
      <c r="N387" s="720">
        <v>1</v>
      </c>
      <c r="O387" s="720">
        <v>7289.24</v>
      </c>
      <c r="P387" s="745">
        <v>0.42856353337793834</v>
      </c>
      <c r="Q387" s="721">
        <v>7289.24</v>
      </c>
    </row>
    <row r="388" spans="1:17" ht="14.45" customHeight="1" x14ac:dyDescent="0.2">
      <c r="A388" s="715" t="s">
        <v>518</v>
      </c>
      <c r="B388" s="716" t="s">
        <v>3028</v>
      </c>
      <c r="C388" s="716" t="s">
        <v>3579</v>
      </c>
      <c r="D388" s="716" t="s">
        <v>3697</v>
      </c>
      <c r="E388" s="716" t="s">
        <v>3698</v>
      </c>
      <c r="F388" s="720"/>
      <c r="G388" s="720"/>
      <c r="H388" s="720"/>
      <c r="I388" s="720"/>
      <c r="J388" s="720">
        <v>1</v>
      </c>
      <c r="K388" s="720">
        <v>6397.2</v>
      </c>
      <c r="L388" s="720">
        <v>1</v>
      </c>
      <c r="M388" s="720">
        <v>6397.2</v>
      </c>
      <c r="N388" s="720">
        <v>1</v>
      </c>
      <c r="O388" s="720">
        <v>6397.2</v>
      </c>
      <c r="P388" s="745">
        <v>1</v>
      </c>
      <c r="Q388" s="721">
        <v>6397.2</v>
      </c>
    </row>
    <row r="389" spans="1:17" ht="14.45" customHeight="1" x14ac:dyDescent="0.2">
      <c r="A389" s="715" t="s">
        <v>518</v>
      </c>
      <c r="B389" s="716" t="s">
        <v>3028</v>
      </c>
      <c r="C389" s="716" t="s">
        <v>3579</v>
      </c>
      <c r="D389" s="716" t="s">
        <v>3699</v>
      </c>
      <c r="E389" s="716" t="s">
        <v>3700</v>
      </c>
      <c r="F389" s="720">
        <v>1</v>
      </c>
      <c r="G389" s="720">
        <v>69228.990000000005</v>
      </c>
      <c r="H389" s="720"/>
      <c r="I389" s="720">
        <v>69228.990000000005</v>
      </c>
      <c r="J389" s="720"/>
      <c r="K389" s="720"/>
      <c r="L389" s="720"/>
      <c r="M389" s="720"/>
      <c r="N389" s="720"/>
      <c r="O389" s="720"/>
      <c r="P389" s="745"/>
      <c r="Q389" s="721"/>
    </row>
    <row r="390" spans="1:17" ht="14.45" customHeight="1" x14ac:dyDescent="0.2">
      <c r="A390" s="715" t="s">
        <v>518</v>
      </c>
      <c r="B390" s="716" t="s">
        <v>3028</v>
      </c>
      <c r="C390" s="716" t="s">
        <v>3579</v>
      </c>
      <c r="D390" s="716" t="s">
        <v>3701</v>
      </c>
      <c r="E390" s="716" t="s">
        <v>3702</v>
      </c>
      <c r="F390" s="720">
        <v>3</v>
      </c>
      <c r="G390" s="720">
        <v>5388</v>
      </c>
      <c r="H390" s="720"/>
      <c r="I390" s="720">
        <v>1796</v>
      </c>
      <c r="J390" s="720"/>
      <c r="K390" s="720"/>
      <c r="L390" s="720"/>
      <c r="M390" s="720"/>
      <c r="N390" s="720"/>
      <c r="O390" s="720"/>
      <c r="P390" s="745"/>
      <c r="Q390" s="721"/>
    </row>
    <row r="391" spans="1:17" ht="14.45" customHeight="1" x14ac:dyDescent="0.2">
      <c r="A391" s="715" t="s">
        <v>518</v>
      </c>
      <c r="B391" s="716" t="s">
        <v>3028</v>
      </c>
      <c r="C391" s="716" t="s">
        <v>3579</v>
      </c>
      <c r="D391" s="716" t="s">
        <v>3703</v>
      </c>
      <c r="E391" s="716" t="s">
        <v>3704</v>
      </c>
      <c r="F391" s="720">
        <v>8.1</v>
      </c>
      <c r="G391" s="720">
        <v>14547.6</v>
      </c>
      <c r="H391" s="720"/>
      <c r="I391" s="720">
        <v>1796.0000000000002</v>
      </c>
      <c r="J391" s="720"/>
      <c r="K391" s="720"/>
      <c r="L391" s="720"/>
      <c r="M391" s="720"/>
      <c r="N391" s="720">
        <v>1</v>
      </c>
      <c r="O391" s="720">
        <v>1657.27</v>
      </c>
      <c r="P391" s="745"/>
      <c r="Q391" s="721">
        <v>1657.27</v>
      </c>
    </row>
    <row r="392" spans="1:17" ht="14.45" customHeight="1" x14ac:dyDescent="0.2">
      <c r="A392" s="715" t="s">
        <v>518</v>
      </c>
      <c r="B392" s="716" t="s">
        <v>3028</v>
      </c>
      <c r="C392" s="716" t="s">
        <v>3579</v>
      </c>
      <c r="D392" s="716" t="s">
        <v>3705</v>
      </c>
      <c r="E392" s="716" t="s">
        <v>3706</v>
      </c>
      <c r="F392" s="720">
        <v>12.3</v>
      </c>
      <c r="G392" s="720">
        <v>22090.799999999999</v>
      </c>
      <c r="H392" s="720"/>
      <c r="I392" s="720">
        <v>1795.9999999999998</v>
      </c>
      <c r="J392" s="720"/>
      <c r="K392" s="720"/>
      <c r="L392" s="720"/>
      <c r="M392" s="720"/>
      <c r="N392" s="720">
        <v>2</v>
      </c>
      <c r="O392" s="720">
        <v>1921.48</v>
      </c>
      <c r="P392" s="745"/>
      <c r="Q392" s="721">
        <v>960.74</v>
      </c>
    </row>
    <row r="393" spans="1:17" ht="14.45" customHeight="1" x14ac:dyDescent="0.2">
      <c r="A393" s="715" t="s">
        <v>518</v>
      </c>
      <c r="B393" s="716" t="s">
        <v>3028</v>
      </c>
      <c r="C393" s="716" t="s">
        <v>3579</v>
      </c>
      <c r="D393" s="716" t="s">
        <v>3707</v>
      </c>
      <c r="E393" s="716" t="s">
        <v>3708</v>
      </c>
      <c r="F393" s="720">
        <v>1</v>
      </c>
      <c r="G393" s="720">
        <v>3360</v>
      </c>
      <c r="H393" s="720"/>
      <c r="I393" s="720">
        <v>3360</v>
      </c>
      <c r="J393" s="720"/>
      <c r="K393" s="720"/>
      <c r="L393" s="720"/>
      <c r="M393" s="720"/>
      <c r="N393" s="720"/>
      <c r="O393" s="720"/>
      <c r="P393" s="745"/>
      <c r="Q393" s="721"/>
    </row>
    <row r="394" spans="1:17" ht="14.45" customHeight="1" x14ac:dyDescent="0.2">
      <c r="A394" s="715" t="s">
        <v>518</v>
      </c>
      <c r="B394" s="716" t="s">
        <v>3028</v>
      </c>
      <c r="C394" s="716" t="s">
        <v>3579</v>
      </c>
      <c r="D394" s="716" t="s">
        <v>3709</v>
      </c>
      <c r="E394" s="716" t="s">
        <v>3710</v>
      </c>
      <c r="F394" s="720">
        <v>2</v>
      </c>
      <c r="G394" s="720">
        <v>4032</v>
      </c>
      <c r="H394" s="720"/>
      <c r="I394" s="720">
        <v>2016</v>
      </c>
      <c r="J394" s="720"/>
      <c r="K394" s="720"/>
      <c r="L394" s="720"/>
      <c r="M394" s="720"/>
      <c r="N394" s="720">
        <v>1</v>
      </c>
      <c r="O394" s="720">
        <v>2016</v>
      </c>
      <c r="P394" s="745"/>
      <c r="Q394" s="721">
        <v>2016</v>
      </c>
    </row>
    <row r="395" spans="1:17" ht="14.45" customHeight="1" x14ac:dyDescent="0.2">
      <c r="A395" s="715" t="s">
        <v>518</v>
      </c>
      <c r="B395" s="716" t="s">
        <v>3028</v>
      </c>
      <c r="C395" s="716" t="s">
        <v>3579</v>
      </c>
      <c r="D395" s="716" t="s">
        <v>3711</v>
      </c>
      <c r="E395" s="716" t="s">
        <v>3712</v>
      </c>
      <c r="F395" s="720"/>
      <c r="G395" s="720"/>
      <c r="H395" s="720"/>
      <c r="I395" s="720"/>
      <c r="J395" s="720"/>
      <c r="K395" s="720"/>
      <c r="L395" s="720"/>
      <c r="M395" s="720"/>
      <c r="N395" s="720">
        <v>1</v>
      </c>
      <c r="O395" s="720">
        <v>9100</v>
      </c>
      <c r="P395" s="745"/>
      <c r="Q395" s="721">
        <v>9100</v>
      </c>
    </row>
    <row r="396" spans="1:17" ht="14.45" customHeight="1" x14ac:dyDescent="0.2">
      <c r="A396" s="715" t="s">
        <v>518</v>
      </c>
      <c r="B396" s="716" t="s">
        <v>3028</v>
      </c>
      <c r="C396" s="716" t="s">
        <v>3579</v>
      </c>
      <c r="D396" s="716" t="s">
        <v>3713</v>
      </c>
      <c r="E396" s="716" t="s">
        <v>3714</v>
      </c>
      <c r="F396" s="720"/>
      <c r="G396" s="720"/>
      <c r="H396" s="720"/>
      <c r="I396" s="720"/>
      <c r="J396" s="720"/>
      <c r="K396" s="720"/>
      <c r="L396" s="720"/>
      <c r="M396" s="720"/>
      <c r="N396" s="720">
        <v>2</v>
      </c>
      <c r="O396" s="720">
        <v>42561.2</v>
      </c>
      <c r="P396" s="745"/>
      <c r="Q396" s="721">
        <v>21280.6</v>
      </c>
    </row>
    <row r="397" spans="1:17" ht="14.45" customHeight="1" x14ac:dyDescent="0.2">
      <c r="A397" s="715" t="s">
        <v>518</v>
      </c>
      <c r="B397" s="716" t="s">
        <v>3028</v>
      </c>
      <c r="C397" s="716" t="s">
        <v>3579</v>
      </c>
      <c r="D397" s="716" t="s">
        <v>3715</v>
      </c>
      <c r="E397" s="716" t="s">
        <v>3716</v>
      </c>
      <c r="F397" s="720">
        <v>1</v>
      </c>
      <c r="G397" s="720">
        <v>3501.87</v>
      </c>
      <c r="H397" s="720"/>
      <c r="I397" s="720">
        <v>3501.87</v>
      </c>
      <c r="J397" s="720"/>
      <c r="K397" s="720"/>
      <c r="L397" s="720"/>
      <c r="M397" s="720"/>
      <c r="N397" s="720"/>
      <c r="O397" s="720"/>
      <c r="P397" s="745"/>
      <c r="Q397" s="721"/>
    </row>
    <row r="398" spans="1:17" ht="14.45" customHeight="1" x14ac:dyDescent="0.2">
      <c r="A398" s="715" t="s">
        <v>518</v>
      </c>
      <c r="B398" s="716" t="s">
        <v>3028</v>
      </c>
      <c r="C398" s="716" t="s">
        <v>3579</v>
      </c>
      <c r="D398" s="716" t="s">
        <v>3717</v>
      </c>
      <c r="E398" s="716" t="s">
        <v>3718</v>
      </c>
      <c r="F398" s="720"/>
      <c r="G398" s="720"/>
      <c r="H398" s="720"/>
      <c r="I398" s="720"/>
      <c r="J398" s="720"/>
      <c r="K398" s="720"/>
      <c r="L398" s="720"/>
      <c r="M398" s="720"/>
      <c r="N398" s="720">
        <v>1</v>
      </c>
      <c r="O398" s="720">
        <v>7437.74</v>
      </c>
      <c r="P398" s="745"/>
      <c r="Q398" s="721">
        <v>7437.74</v>
      </c>
    </row>
    <row r="399" spans="1:17" ht="14.45" customHeight="1" x14ac:dyDescent="0.2">
      <c r="A399" s="715" t="s">
        <v>518</v>
      </c>
      <c r="B399" s="716" t="s">
        <v>3028</v>
      </c>
      <c r="C399" s="716" t="s">
        <v>3579</v>
      </c>
      <c r="D399" s="716" t="s">
        <v>3719</v>
      </c>
      <c r="E399" s="716" t="s">
        <v>3720</v>
      </c>
      <c r="F399" s="720">
        <v>2</v>
      </c>
      <c r="G399" s="720">
        <v>723.38</v>
      </c>
      <c r="H399" s="720">
        <v>0.5</v>
      </c>
      <c r="I399" s="720">
        <v>361.69</v>
      </c>
      <c r="J399" s="720">
        <v>4</v>
      </c>
      <c r="K399" s="720">
        <v>1446.76</v>
      </c>
      <c r="L399" s="720">
        <v>1</v>
      </c>
      <c r="M399" s="720">
        <v>361.69</v>
      </c>
      <c r="N399" s="720"/>
      <c r="O399" s="720"/>
      <c r="P399" s="745"/>
      <c r="Q399" s="721"/>
    </row>
    <row r="400" spans="1:17" ht="14.45" customHeight="1" x14ac:dyDescent="0.2">
      <c r="A400" s="715" t="s">
        <v>518</v>
      </c>
      <c r="B400" s="716" t="s">
        <v>3028</v>
      </c>
      <c r="C400" s="716" t="s">
        <v>3579</v>
      </c>
      <c r="D400" s="716" t="s">
        <v>3721</v>
      </c>
      <c r="E400" s="716" t="s">
        <v>3722</v>
      </c>
      <c r="F400" s="720"/>
      <c r="G400" s="720"/>
      <c r="H400" s="720"/>
      <c r="I400" s="720"/>
      <c r="J400" s="720">
        <v>1</v>
      </c>
      <c r="K400" s="720">
        <v>4618</v>
      </c>
      <c r="L400" s="720">
        <v>1</v>
      </c>
      <c r="M400" s="720">
        <v>4618</v>
      </c>
      <c r="N400" s="720"/>
      <c r="O400" s="720"/>
      <c r="P400" s="745"/>
      <c r="Q400" s="721"/>
    </row>
    <row r="401" spans="1:17" ht="14.45" customHeight="1" x14ac:dyDescent="0.2">
      <c r="A401" s="715" t="s">
        <v>518</v>
      </c>
      <c r="B401" s="716" t="s">
        <v>3028</v>
      </c>
      <c r="C401" s="716" t="s">
        <v>3579</v>
      </c>
      <c r="D401" s="716" t="s">
        <v>3723</v>
      </c>
      <c r="E401" s="716" t="s">
        <v>3724</v>
      </c>
      <c r="F401" s="720">
        <v>1</v>
      </c>
      <c r="G401" s="720">
        <v>4676</v>
      </c>
      <c r="H401" s="720"/>
      <c r="I401" s="720">
        <v>4676</v>
      </c>
      <c r="J401" s="720"/>
      <c r="K401" s="720"/>
      <c r="L401" s="720"/>
      <c r="M401" s="720"/>
      <c r="N401" s="720">
        <v>1</v>
      </c>
      <c r="O401" s="720">
        <v>4676</v>
      </c>
      <c r="P401" s="745"/>
      <c r="Q401" s="721">
        <v>4676</v>
      </c>
    </row>
    <row r="402" spans="1:17" ht="14.45" customHeight="1" x14ac:dyDescent="0.2">
      <c r="A402" s="715" t="s">
        <v>518</v>
      </c>
      <c r="B402" s="716" t="s">
        <v>3028</v>
      </c>
      <c r="C402" s="716" t="s">
        <v>3579</v>
      </c>
      <c r="D402" s="716" t="s">
        <v>3725</v>
      </c>
      <c r="E402" s="716" t="s">
        <v>3724</v>
      </c>
      <c r="F402" s="720">
        <v>1</v>
      </c>
      <c r="G402" s="720">
        <v>6376</v>
      </c>
      <c r="H402" s="720"/>
      <c r="I402" s="720">
        <v>6376</v>
      </c>
      <c r="J402" s="720"/>
      <c r="K402" s="720"/>
      <c r="L402" s="720"/>
      <c r="M402" s="720"/>
      <c r="N402" s="720"/>
      <c r="O402" s="720"/>
      <c r="P402" s="745"/>
      <c r="Q402" s="721"/>
    </row>
    <row r="403" spans="1:17" ht="14.45" customHeight="1" x14ac:dyDescent="0.2">
      <c r="A403" s="715" t="s">
        <v>518</v>
      </c>
      <c r="B403" s="716" t="s">
        <v>3028</v>
      </c>
      <c r="C403" s="716" t="s">
        <v>3579</v>
      </c>
      <c r="D403" s="716" t="s">
        <v>3726</v>
      </c>
      <c r="E403" s="716" t="s">
        <v>3724</v>
      </c>
      <c r="F403" s="720">
        <v>10</v>
      </c>
      <c r="G403" s="720">
        <v>5920</v>
      </c>
      <c r="H403" s="720"/>
      <c r="I403" s="720">
        <v>592</v>
      </c>
      <c r="J403" s="720"/>
      <c r="K403" s="720"/>
      <c r="L403" s="720"/>
      <c r="M403" s="720"/>
      <c r="N403" s="720">
        <v>4</v>
      </c>
      <c r="O403" s="720">
        <v>2368</v>
      </c>
      <c r="P403" s="745"/>
      <c r="Q403" s="721">
        <v>592</v>
      </c>
    </row>
    <row r="404" spans="1:17" ht="14.45" customHeight="1" x14ac:dyDescent="0.2">
      <c r="A404" s="715" t="s">
        <v>518</v>
      </c>
      <c r="B404" s="716" t="s">
        <v>3028</v>
      </c>
      <c r="C404" s="716" t="s">
        <v>3579</v>
      </c>
      <c r="D404" s="716" t="s">
        <v>3727</v>
      </c>
      <c r="E404" s="716" t="s">
        <v>3728</v>
      </c>
      <c r="F404" s="720">
        <v>26</v>
      </c>
      <c r="G404" s="720">
        <v>14469</v>
      </c>
      <c r="H404" s="720">
        <v>0.96296296296296291</v>
      </c>
      <c r="I404" s="720">
        <v>556.5</v>
      </c>
      <c r="J404" s="720">
        <v>27</v>
      </c>
      <c r="K404" s="720">
        <v>15025.5</v>
      </c>
      <c r="L404" s="720">
        <v>1</v>
      </c>
      <c r="M404" s="720">
        <v>556.5</v>
      </c>
      <c r="N404" s="720">
        <v>22</v>
      </c>
      <c r="O404" s="720">
        <v>11663.320000000003</v>
      </c>
      <c r="P404" s="745">
        <v>0.77623506705267731</v>
      </c>
      <c r="Q404" s="721">
        <v>530.15090909090929</v>
      </c>
    </row>
    <row r="405" spans="1:17" ht="14.45" customHeight="1" x14ac:dyDescent="0.2">
      <c r="A405" s="715" t="s">
        <v>518</v>
      </c>
      <c r="B405" s="716" t="s">
        <v>3028</v>
      </c>
      <c r="C405" s="716" t="s">
        <v>3579</v>
      </c>
      <c r="D405" s="716" t="s">
        <v>3729</v>
      </c>
      <c r="E405" s="716" t="s">
        <v>3730</v>
      </c>
      <c r="F405" s="720">
        <v>2.4</v>
      </c>
      <c r="G405" s="720">
        <v>604.83999999999992</v>
      </c>
      <c r="H405" s="720">
        <v>1.3332745508652044</v>
      </c>
      <c r="I405" s="720">
        <v>252.01666666666665</v>
      </c>
      <c r="J405" s="720">
        <v>1.8</v>
      </c>
      <c r="K405" s="720">
        <v>453.65</v>
      </c>
      <c r="L405" s="720">
        <v>1</v>
      </c>
      <c r="M405" s="720">
        <v>252.02777777777777</v>
      </c>
      <c r="N405" s="720">
        <v>1</v>
      </c>
      <c r="O405" s="720">
        <v>252.02</v>
      </c>
      <c r="P405" s="745">
        <v>0.55553841066901799</v>
      </c>
      <c r="Q405" s="721">
        <v>252.02</v>
      </c>
    </row>
    <row r="406" spans="1:17" ht="14.45" customHeight="1" x14ac:dyDescent="0.2">
      <c r="A406" s="715" t="s">
        <v>518</v>
      </c>
      <c r="B406" s="716" t="s">
        <v>3028</v>
      </c>
      <c r="C406" s="716" t="s">
        <v>3579</v>
      </c>
      <c r="D406" s="716" t="s">
        <v>3731</v>
      </c>
      <c r="E406" s="716" t="s">
        <v>3732</v>
      </c>
      <c r="F406" s="720">
        <v>2</v>
      </c>
      <c r="G406" s="720">
        <v>1123.42</v>
      </c>
      <c r="H406" s="720"/>
      <c r="I406" s="720">
        <v>561.71</v>
      </c>
      <c r="J406" s="720"/>
      <c r="K406" s="720"/>
      <c r="L406" s="720"/>
      <c r="M406" s="720"/>
      <c r="N406" s="720"/>
      <c r="O406" s="720"/>
      <c r="P406" s="745"/>
      <c r="Q406" s="721"/>
    </row>
    <row r="407" spans="1:17" ht="14.45" customHeight="1" x14ac:dyDescent="0.2">
      <c r="A407" s="715" t="s">
        <v>518</v>
      </c>
      <c r="B407" s="716" t="s">
        <v>3028</v>
      </c>
      <c r="C407" s="716" t="s">
        <v>3579</v>
      </c>
      <c r="D407" s="716" t="s">
        <v>3733</v>
      </c>
      <c r="E407" s="716" t="s">
        <v>3730</v>
      </c>
      <c r="F407" s="720"/>
      <c r="G407" s="720"/>
      <c r="H407" s="720"/>
      <c r="I407" s="720"/>
      <c r="J407" s="720"/>
      <c r="K407" s="720"/>
      <c r="L407" s="720"/>
      <c r="M407" s="720"/>
      <c r="N407" s="720">
        <v>6</v>
      </c>
      <c r="O407" s="720">
        <v>2807.16</v>
      </c>
      <c r="P407" s="745"/>
      <c r="Q407" s="721">
        <v>467.85999999999996</v>
      </c>
    </row>
    <row r="408" spans="1:17" ht="14.45" customHeight="1" x14ac:dyDescent="0.2">
      <c r="A408" s="715" t="s">
        <v>518</v>
      </c>
      <c r="B408" s="716" t="s">
        <v>3028</v>
      </c>
      <c r="C408" s="716" t="s">
        <v>3579</v>
      </c>
      <c r="D408" s="716" t="s">
        <v>3734</v>
      </c>
      <c r="E408" s="716" t="s">
        <v>3730</v>
      </c>
      <c r="F408" s="720">
        <v>20</v>
      </c>
      <c r="G408" s="720">
        <v>36977.4</v>
      </c>
      <c r="H408" s="720">
        <v>0.97951431428514668</v>
      </c>
      <c r="I408" s="720">
        <v>1848.8700000000001</v>
      </c>
      <c r="J408" s="720">
        <v>21</v>
      </c>
      <c r="K408" s="720">
        <v>37750.75</v>
      </c>
      <c r="L408" s="720">
        <v>1</v>
      </c>
      <c r="M408" s="720">
        <v>1797.6547619047619</v>
      </c>
      <c r="N408" s="720">
        <v>14</v>
      </c>
      <c r="O408" s="720">
        <v>23195.379999999997</v>
      </c>
      <c r="P408" s="745">
        <v>0.61443494500109264</v>
      </c>
      <c r="Q408" s="721">
        <v>1656.812857142857</v>
      </c>
    </row>
    <row r="409" spans="1:17" ht="14.45" customHeight="1" x14ac:dyDescent="0.2">
      <c r="A409" s="715" t="s">
        <v>518</v>
      </c>
      <c r="B409" s="716" t="s">
        <v>3028</v>
      </c>
      <c r="C409" s="716" t="s">
        <v>3579</v>
      </c>
      <c r="D409" s="716" t="s">
        <v>3735</v>
      </c>
      <c r="E409" s="716" t="s">
        <v>3736</v>
      </c>
      <c r="F409" s="720"/>
      <c r="G409" s="720"/>
      <c r="H409" s="720"/>
      <c r="I409" s="720"/>
      <c r="J409" s="720">
        <v>2</v>
      </c>
      <c r="K409" s="720">
        <v>3898.24</v>
      </c>
      <c r="L409" s="720">
        <v>1</v>
      </c>
      <c r="M409" s="720">
        <v>1949.12</v>
      </c>
      <c r="N409" s="720">
        <v>1</v>
      </c>
      <c r="O409" s="720">
        <v>506</v>
      </c>
      <c r="P409" s="745">
        <v>0.12980216713183387</v>
      </c>
      <c r="Q409" s="721">
        <v>506</v>
      </c>
    </row>
    <row r="410" spans="1:17" ht="14.45" customHeight="1" x14ac:dyDescent="0.2">
      <c r="A410" s="715" t="s">
        <v>518</v>
      </c>
      <c r="B410" s="716" t="s">
        <v>3028</v>
      </c>
      <c r="C410" s="716" t="s">
        <v>3579</v>
      </c>
      <c r="D410" s="716" t="s">
        <v>3737</v>
      </c>
      <c r="E410" s="716" t="s">
        <v>3738</v>
      </c>
      <c r="F410" s="720">
        <v>3</v>
      </c>
      <c r="G410" s="720">
        <v>4538.04</v>
      </c>
      <c r="H410" s="720">
        <v>3.3291810638906618</v>
      </c>
      <c r="I410" s="720">
        <v>1512.68</v>
      </c>
      <c r="J410" s="720">
        <v>1</v>
      </c>
      <c r="K410" s="720">
        <v>1363.11</v>
      </c>
      <c r="L410" s="720">
        <v>1</v>
      </c>
      <c r="M410" s="720">
        <v>1363.11</v>
      </c>
      <c r="N410" s="720">
        <v>4</v>
      </c>
      <c r="O410" s="720">
        <v>2024</v>
      </c>
      <c r="P410" s="745">
        <v>1.4848398148351931</v>
      </c>
      <c r="Q410" s="721">
        <v>506</v>
      </c>
    </row>
    <row r="411" spans="1:17" ht="14.45" customHeight="1" x14ac:dyDescent="0.2">
      <c r="A411" s="715" t="s">
        <v>518</v>
      </c>
      <c r="B411" s="716" t="s">
        <v>3028</v>
      </c>
      <c r="C411" s="716" t="s">
        <v>3579</v>
      </c>
      <c r="D411" s="716" t="s">
        <v>3739</v>
      </c>
      <c r="E411" s="716" t="s">
        <v>3738</v>
      </c>
      <c r="F411" s="720"/>
      <c r="G411" s="720"/>
      <c r="H411" s="720"/>
      <c r="I411" s="720"/>
      <c r="J411" s="720">
        <v>2</v>
      </c>
      <c r="K411" s="720">
        <v>3883.2</v>
      </c>
      <c r="L411" s="720">
        <v>1</v>
      </c>
      <c r="M411" s="720">
        <v>1941.6</v>
      </c>
      <c r="N411" s="720"/>
      <c r="O411" s="720"/>
      <c r="P411" s="745"/>
      <c r="Q411" s="721"/>
    </row>
    <row r="412" spans="1:17" ht="14.45" customHeight="1" x14ac:dyDescent="0.2">
      <c r="A412" s="715" t="s">
        <v>518</v>
      </c>
      <c r="B412" s="716" t="s">
        <v>3028</v>
      </c>
      <c r="C412" s="716" t="s">
        <v>3579</v>
      </c>
      <c r="D412" s="716" t="s">
        <v>3740</v>
      </c>
      <c r="E412" s="716" t="s">
        <v>3741</v>
      </c>
      <c r="F412" s="720">
        <v>1</v>
      </c>
      <c r="G412" s="720">
        <v>22843.53</v>
      </c>
      <c r="H412" s="720">
        <v>1.1547517465195982</v>
      </c>
      <c r="I412" s="720">
        <v>22843.53</v>
      </c>
      <c r="J412" s="720">
        <v>1</v>
      </c>
      <c r="K412" s="720">
        <v>19782.2</v>
      </c>
      <c r="L412" s="720">
        <v>1</v>
      </c>
      <c r="M412" s="720">
        <v>19782.2</v>
      </c>
      <c r="N412" s="720">
        <v>1</v>
      </c>
      <c r="O412" s="720">
        <v>7898.49</v>
      </c>
      <c r="P412" s="745">
        <v>0.3992725783785423</v>
      </c>
      <c r="Q412" s="721">
        <v>7898.49</v>
      </c>
    </row>
    <row r="413" spans="1:17" ht="14.45" customHeight="1" x14ac:dyDescent="0.2">
      <c r="A413" s="715" t="s">
        <v>518</v>
      </c>
      <c r="B413" s="716" t="s">
        <v>3028</v>
      </c>
      <c r="C413" s="716" t="s">
        <v>3579</v>
      </c>
      <c r="D413" s="716" t="s">
        <v>3742</v>
      </c>
      <c r="E413" s="716" t="s">
        <v>3743</v>
      </c>
      <c r="F413" s="720">
        <v>2</v>
      </c>
      <c r="G413" s="720">
        <v>16982.919999999998</v>
      </c>
      <c r="H413" s="720">
        <v>2</v>
      </c>
      <c r="I413" s="720">
        <v>8491.4599999999991</v>
      </c>
      <c r="J413" s="720">
        <v>1</v>
      </c>
      <c r="K413" s="720">
        <v>8491.4599999999991</v>
      </c>
      <c r="L413" s="720">
        <v>1</v>
      </c>
      <c r="M413" s="720">
        <v>8491.4599999999991</v>
      </c>
      <c r="N413" s="720">
        <v>2</v>
      </c>
      <c r="O413" s="720">
        <v>8905.6</v>
      </c>
      <c r="P413" s="745">
        <v>1.048771353807237</v>
      </c>
      <c r="Q413" s="721">
        <v>4452.8</v>
      </c>
    </row>
    <row r="414" spans="1:17" ht="14.45" customHeight="1" x14ac:dyDescent="0.2">
      <c r="A414" s="715" t="s">
        <v>518</v>
      </c>
      <c r="B414" s="716" t="s">
        <v>3028</v>
      </c>
      <c r="C414" s="716" t="s">
        <v>3579</v>
      </c>
      <c r="D414" s="716" t="s">
        <v>3744</v>
      </c>
      <c r="E414" s="716" t="s">
        <v>3745</v>
      </c>
      <c r="F414" s="720">
        <v>8</v>
      </c>
      <c r="G414" s="720">
        <v>23993.919999999998</v>
      </c>
      <c r="H414" s="720">
        <v>1.3333333333333333</v>
      </c>
      <c r="I414" s="720">
        <v>2999.24</v>
      </c>
      <c r="J414" s="720">
        <v>6</v>
      </c>
      <c r="K414" s="720">
        <v>17995.439999999999</v>
      </c>
      <c r="L414" s="720">
        <v>1</v>
      </c>
      <c r="M414" s="720">
        <v>2999.24</v>
      </c>
      <c r="N414" s="720">
        <v>9</v>
      </c>
      <c r="O414" s="720">
        <v>10419.84</v>
      </c>
      <c r="P414" s="745">
        <v>0.57902668676064606</v>
      </c>
      <c r="Q414" s="721">
        <v>1157.76</v>
      </c>
    </row>
    <row r="415" spans="1:17" ht="14.45" customHeight="1" x14ac:dyDescent="0.2">
      <c r="A415" s="715" t="s">
        <v>518</v>
      </c>
      <c r="B415" s="716" t="s">
        <v>3028</v>
      </c>
      <c r="C415" s="716" t="s">
        <v>3579</v>
      </c>
      <c r="D415" s="716" t="s">
        <v>3746</v>
      </c>
      <c r="E415" s="716" t="s">
        <v>3747</v>
      </c>
      <c r="F415" s="720"/>
      <c r="G415" s="720"/>
      <c r="H415" s="720"/>
      <c r="I415" s="720"/>
      <c r="J415" s="720">
        <v>1</v>
      </c>
      <c r="K415" s="720">
        <v>10779.22</v>
      </c>
      <c r="L415" s="720">
        <v>1</v>
      </c>
      <c r="M415" s="720">
        <v>10779.22</v>
      </c>
      <c r="N415" s="720"/>
      <c r="O415" s="720"/>
      <c r="P415" s="745"/>
      <c r="Q415" s="721"/>
    </row>
    <row r="416" spans="1:17" ht="14.45" customHeight="1" x14ac:dyDescent="0.2">
      <c r="A416" s="715" t="s">
        <v>518</v>
      </c>
      <c r="B416" s="716" t="s">
        <v>3028</v>
      </c>
      <c r="C416" s="716" t="s">
        <v>3579</v>
      </c>
      <c r="D416" s="716" t="s">
        <v>3748</v>
      </c>
      <c r="E416" s="716" t="s">
        <v>3749</v>
      </c>
      <c r="F416" s="720"/>
      <c r="G416" s="720"/>
      <c r="H416" s="720"/>
      <c r="I416" s="720"/>
      <c r="J416" s="720">
        <v>1</v>
      </c>
      <c r="K416" s="720">
        <v>9112.75</v>
      </c>
      <c r="L416" s="720">
        <v>1</v>
      </c>
      <c r="M416" s="720">
        <v>9112.75</v>
      </c>
      <c r="N416" s="720"/>
      <c r="O416" s="720"/>
      <c r="P416" s="745"/>
      <c r="Q416" s="721"/>
    </row>
    <row r="417" spans="1:17" ht="14.45" customHeight="1" x14ac:dyDescent="0.2">
      <c r="A417" s="715" t="s">
        <v>518</v>
      </c>
      <c r="B417" s="716" t="s">
        <v>3028</v>
      </c>
      <c r="C417" s="716" t="s">
        <v>3579</v>
      </c>
      <c r="D417" s="716" t="s">
        <v>3750</v>
      </c>
      <c r="E417" s="716" t="s">
        <v>3751</v>
      </c>
      <c r="F417" s="720"/>
      <c r="G417" s="720"/>
      <c r="H417" s="720"/>
      <c r="I417" s="720"/>
      <c r="J417" s="720">
        <v>5</v>
      </c>
      <c r="K417" s="720">
        <v>5747.5</v>
      </c>
      <c r="L417" s="720">
        <v>1</v>
      </c>
      <c r="M417" s="720">
        <v>1149.5</v>
      </c>
      <c r="N417" s="720"/>
      <c r="O417" s="720"/>
      <c r="P417" s="745"/>
      <c r="Q417" s="721"/>
    </row>
    <row r="418" spans="1:17" ht="14.45" customHeight="1" x14ac:dyDescent="0.2">
      <c r="A418" s="715" t="s">
        <v>518</v>
      </c>
      <c r="B418" s="716" t="s">
        <v>3028</v>
      </c>
      <c r="C418" s="716" t="s">
        <v>3579</v>
      </c>
      <c r="D418" s="716" t="s">
        <v>3752</v>
      </c>
      <c r="E418" s="716" t="s">
        <v>3751</v>
      </c>
      <c r="F418" s="720"/>
      <c r="G418" s="720"/>
      <c r="H418" s="720"/>
      <c r="I418" s="720"/>
      <c r="J418" s="720">
        <v>4</v>
      </c>
      <c r="K418" s="720">
        <v>7606.92</v>
      </c>
      <c r="L418" s="720">
        <v>1</v>
      </c>
      <c r="M418" s="720">
        <v>1901.73</v>
      </c>
      <c r="N418" s="720"/>
      <c r="O418" s="720"/>
      <c r="P418" s="745"/>
      <c r="Q418" s="721"/>
    </row>
    <row r="419" spans="1:17" ht="14.45" customHeight="1" x14ac:dyDescent="0.2">
      <c r="A419" s="715" t="s">
        <v>518</v>
      </c>
      <c r="B419" s="716" t="s">
        <v>3028</v>
      </c>
      <c r="C419" s="716" t="s">
        <v>3579</v>
      </c>
      <c r="D419" s="716" t="s">
        <v>3753</v>
      </c>
      <c r="E419" s="716" t="s">
        <v>3754</v>
      </c>
      <c r="F419" s="720">
        <v>26</v>
      </c>
      <c r="G419" s="720">
        <v>2511.6</v>
      </c>
      <c r="H419" s="720">
        <v>0.35135135135135137</v>
      </c>
      <c r="I419" s="720">
        <v>96.6</v>
      </c>
      <c r="J419" s="720">
        <v>74</v>
      </c>
      <c r="K419" s="720">
        <v>7148.4</v>
      </c>
      <c r="L419" s="720">
        <v>1</v>
      </c>
      <c r="M419" s="720">
        <v>96.6</v>
      </c>
      <c r="N419" s="720">
        <v>22</v>
      </c>
      <c r="O419" s="720">
        <v>2125.1999999999998</v>
      </c>
      <c r="P419" s="745">
        <v>0.29729729729729731</v>
      </c>
      <c r="Q419" s="721">
        <v>96.6</v>
      </c>
    </row>
    <row r="420" spans="1:17" ht="14.45" customHeight="1" x14ac:dyDescent="0.2">
      <c r="A420" s="715" t="s">
        <v>518</v>
      </c>
      <c r="B420" s="716" t="s">
        <v>3028</v>
      </c>
      <c r="C420" s="716" t="s">
        <v>3579</v>
      </c>
      <c r="D420" s="716" t="s">
        <v>3755</v>
      </c>
      <c r="E420" s="716" t="s">
        <v>3756</v>
      </c>
      <c r="F420" s="720">
        <v>1</v>
      </c>
      <c r="G420" s="720">
        <v>3278.02</v>
      </c>
      <c r="H420" s="720"/>
      <c r="I420" s="720">
        <v>3278.02</v>
      </c>
      <c r="J420" s="720"/>
      <c r="K420" s="720"/>
      <c r="L420" s="720"/>
      <c r="M420" s="720"/>
      <c r="N420" s="720"/>
      <c r="O420" s="720"/>
      <c r="P420" s="745"/>
      <c r="Q420" s="721"/>
    </row>
    <row r="421" spans="1:17" ht="14.45" customHeight="1" x14ac:dyDescent="0.2">
      <c r="A421" s="715" t="s">
        <v>518</v>
      </c>
      <c r="B421" s="716" t="s">
        <v>3028</v>
      </c>
      <c r="C421" s="716" t="s">
        <v>3579</v>
      </c>
      <c r="D421" s="716" t="s">
        <v>3757</v>
      </c>
      <c r="E421" s="716" t="s">
        <v>3758</v>
      </c>
      <c r="F421" s="720">
        <v>2</v>
      </c>
      <c r="G421" s="720">
        <v>13937.02</v>
      </c>
      <c r="H421" s="720"/>
      <c r="I421" s="720">
        <v>6968.51</v>
      </c>
      <c r="J421" s="720"/>
      <c r="K421" s="720"/>
      <c r="L421" s="720"/>
      <c r="M421" s="720"/>
      <c r="N421" s="720">
        <v>6.5</v>
      </c>
      <c r="O421" s="720">
        <v>38723.08</v>
      </c>
      <c r="P421" s="745"/>
      <c r="Q421" s="721">
        <v>5957.3969230769235</v>
      </c>
    </row>
    <row r="422" spans="1:17" ht="14.45" customHeight="1" x14ac:dyDescent="0.2">
      <c r="A422" s="715" t="s">
        <v>518</v>
      </c>
      <c r="B422" s="716" t="s">
        <v>3028</v>
      </c>
      <c r="C422" s="716" t="s">
        <v>3579</v>
      </c>
      <c r="D422" s="716" t="s">
        <v>3759</v>
      </c>
      <c r="E422" s="716" t="s">
        <v>3760</v>
      </c>
      <c r="F422" s="720"/>
      <c r="G422" s="720"/>
      <c r="H422" s="720"/>
      <c r="I422" s="720"/>
      <c r="J422" s="720"/>
      <c r="K422" s="720"/>
      <c r="L422" s="720"/>
      <c r="M422" s="720"/>
      <c r="N422" s="720">
        <v>1</v>
      </c>
      <c r="O422" s="720">
        <v>9733.3700000000008</v>
      </c>
      <c r="P422" s="745"/>
      <c r="Q422" s="721">
        <v>9733.3700000000008</v>
      </c>
    </row>
    <row r="423" spans="1:17" ht="14.45" customHeight="1" x14ac:dyDescent="0.2">
      <c r="A423" s="715" t="s">
        <v>518</v>
      </c>
      <c r="B423" s="716" t="s">
        <v>3028</v>
      </c>
      <c r="C423" s="716" t="s">
        <v>3579</v>
      </c>
      <c r="D423" s="716" t="s">
        <v>3761</v>
      </c>
      <c r="E423" s="716" t="s">
        <v>3760</v>
      </c>
      <c r="F423" s="720">
        <v>1</v>
      </c>
      <c r="G423" s="720">
        <v>10320.11</v>
      </c>
      <c r="H423" s="720"/>
      <c r="I423" s="720">
        <v>10320.11</v>
      </c>
      <c r="J423" s="720"/>
      <c r="K423" s="720"/>
      <c r="L423" s="720"/>
      <c r="M423" s="720"/>
      <c r="N423" s="720"/>
      <c r="O423" s="720"/>
      <c r="P423" s="745"/>
      <c r="Q423" s="721"/>
    </row>
    <row r="424" spans="1:17" ht="14.45" customHeight="1" x14ac:dyDescent="0.2">
      <c r="A424" s="715" t="s">
        <v>518</v>
      </c>
      <c r="B424" s="716" t="s">
        <v>3028</v>
      </c>
      <c r="C424" s="716" t="s">
        <v>3579</v>
      </c>
      <c r="D424" s="716" t="s">
        <v>3762</v>
      </c>
      <c r="E424" s="716" t="s">
        <v>3763</v>
      </c>
      <c r="F424" s="720">
        <v>2</v>
      </c>
      <c r="G424" s="720">
        <v>2381.56</v>
      </c>
      <c r="H424" s="720">
        <v>1</v>
      </c>
      <c r="I424" s="720">
        <v>1190.78</v>
      </c>
      <c r="J424" s="720">
        <v>2</v>
      </c>
      <c r="K424" s="720">
        <v>2381.56</v>
      </c>
      <c r="L424" s="720">
        <v>1</v>
      </c>
      <c r="M424" s="720">
        <v>1190.78</v>
      </c>
      <c r="N424" s="720"/>
      <c r="O424" s="720"/>
      <c r="P424" s="745"/>
      <c r="Q424" s="721"/>
    </row>
    <row r="425" spans="1:17" ht="14.45" customHeight="1" x14ac:dyDescent="0.2">
      <c r="A425" s="715" t="s">
        <v>518</v>
      </c>
      <c r="B425" s="716" t="s">
        <v>3028</v>
      </c>
      <c r="C425" s="716" t="s">
        <v>3579</v>
      </c>
      <c r="D425" s="716" t="s">
        <v>3764</v>
      </c>
      <c r="E425" s="716" t="s">
        <v>3763</v>
      </c>
      <c r="F425" s="720">
        <v>3</v>
      </c>
      <c r="G425" s="720">
        <v>3678.06</v>
      </c>
      <c r="H425" s="720">
        <v>1</v>
      </c>
      <c r="I425" s="720">
        <v>1226.02</v>
      </c>
      <c r="J425" s="720">
        <v>3</v>
      </c>
      <c r="K425" s="720">
        <v>3678.06</v>
      </c>
      <c r="L425" s="720">
        <v>1</v>
      </c>
      <c r="M425" s="720">
        <v>1226.02</v>
      </c>
      <c r="N425" s="720"/>
      <c r="O425" s="720"/>
      <c r="P425" s="745"/>
      <c r="Q425" s="721"/>
    </row>
    <row r="426" spans="1:17" ht="14.45" customHeight="1" x14ac:dyDescent="0.2">
      <c r="A426" s="715" t="s">
        <v>518</v>
      </c>
      <c r="B426" s="716" t="s">
        <v>3028</v>
      </c>
      <c r="C426" s="716" t="s">
        <v>3579</v>
      </c>
      <c r="D426" s="716" t="s">
        <v>3765</v>
      </c>
      <c r="E426" s="716" t="s">
        <v>3766</v>
      </c>
      <c r="F426" s="720">
        <v>1</v>
      </c>
      <c r="G426" s="720">
        <v>5523.82</v>
      </c>
      <c r="H426" s="720"/>
      <c r="I426" s="720">
        <v>5523.82</v>
      </c>
      <c r="J426" s="720"/>
      <c r="K426" s="720"/>
      <c r="L426" s="720"/>
      <c r="M426" s="720"/>
      <c r="N426" s="720"/>
      <c r="O426" s="720"/>
      <c r="P426" s="745"/>
      <c r="Q426" s="721"/>
    </row>
    <row r="427" spans="1:17" ht="14.45" customHeight="1" x14ac:dyDescent="0.2">
      <c r="A427" s="715" t="s">
        <v>518</v>
      </c>
      <c r="B427" s="716" t="s">
        <v>3028</v>
      </c>
      <c r="C427" s="716" t="s">
        <v>3579</v>
      </c>
      <c r="D427" s="716" t="s">
        <v>3767</v>
      </c>
      <c r="E427" s="716" t="s">
        <v>3768</v>
      </c>
      <c r="F427" s="720"/>
      <c r="G427" s="720"/>
      <c r="H427" s="720"/>
      <c r="I427" s="720"/>
      <c r="J427" s="720"/>
      <c r="K427" s="720"/>
      <c r="L427" s="720"/>
      <c r="M427" s="720"/>
      <c r="N427" s="720">
        <v>1</v>
      </c>
      <c r="O427" s="720">
        <v>10249.799999999999</v>
      </c>
      <c r="P427" s="745"/>
      <c r="Q427" s="721">
        <v>10249.799999999999</v>
      </c>
    </row>
    <row r="428" spans="1:17" ht="14.45" customHeight="1" x14ac:dyDescent="0.2">
      <c r="A428" s="715" t="s">
        <v>518</v>
      </c>
      <c r="B428" s="716" t="s">
        <v>3028</v>
      </c>
      <c r="C428" s="716" t="s">
        <v>3579</v>
      </c>
      <c r="D428" s="716" t="s">
        <v>3769</v>
      </c>
      <c r="E428" s="716" t="s">
        <v>3770</v>
      </c>
      <c r="F428" s="720"/>
      <c r="G428" s="720"/>
      <c r="H428" s="720"/>
      <c r="I428" s="720"/>
      <c r="J428" s="720"/>
      <c r="K428" s="720"/>
      <c r="L428" s="720"/>
      <c r="M428" s="720"/>
      <c r="N428" s="720">
        <v>1</v>
      </c>
      <c r="O428" s="720">
        <v>6755.23</v>
      </c>
      <c r="P428" s="745"/>
      <c r="Q428" s="721">
        <v>6755.23</v>
      </c>
    </row>
    <row r="429" spans="1:17" ht="14.45" customHeight="1" x14ac:dyDescent="0.2">
      <c r="A429" s="715" t="s">
        <v>518</v>
      </c>
      <c r="B429" s="716" t="s">
        <v>3028</v>
      </c>
      <c r="C429" s="716" t="s">
        <v>3579</v>
      </c>
      <c r="D429" s="716" t="s">
        <v>3771</v>
      </c>
      <c r="E429" s="716" t="s">
        <v>3772</v>
      </c>
      <c r="F429" s="720">
        <v>1</v>
      </c>
      <c r="G429" s="720">
        <v>11571</v>
      </c>
      <c r="H429" s="720">
        <v>0.5</v>
      </c>
      <c r="I429" s="720">
        <v>11571</v>
      </c>
      <c r="J429" s="720">
        <v>2</v>
      </c>
      <c r="K429" s="720">
        <v>23142</v>
      </c>
      <c r="L429" s="720">
        <v>1</v>
      </c>
      <c r="M429" s="720">
        <v>11571</v>
      </c>
      <c r="N429" s="720"/>
      <c r="O429" s="720"/>
      <c r="P429" s="745"/>
      <c r="Q429" s="721"/>
    </row>
    <row r="430" spans="1:17" ht="14.45" customHeight="1" x14ac:dyDescent="0.2">
      <c r="A430" s="715" t="s">
        <v>518</v>
      </c>
      <c r="B430" s="716" t="s">
        <v>3028</v>
      </c>
      <c r="C430" s="716" t="s">
        <v>3579</v>
      </c>
      <c r="D430" s="716" t="s">
        <v>3773</v>
      </c>
      <c r="E430" s="716" t="s">
        <v>3645</v>
      </c>
      <c r="F430" s="720">
        <v>3</v>
      </c>
      <c r="G430" s="720">
        <v>4079.13</v>
      </c>
      <c r="H430" s="720">
        <v>1</v>
      </c>
      <c r="I430" s="720">
        <v>1359.71</v>
      </c>
      <c r="J430" s="720">
        <v>3</v>
      </c>
      <c r="K430" s="720">
        <v>4079.13</v>
      </c>
      <c r="L430" s="720">
        <v>1</v>
      </c>
      <c r="M430" s="720">
        <v>1359.71</v>
      </c>
      <c r="N430" s="720"/>
      <c r="O430" s="720"/>
      <c r="P430" s="745"/>
      <c r="Q430" s="721"/>
    </row>
    <row r="431" spans="1:17" ht="14.45" customHeight="1" x14ac:dyDescent="0.2">
      <c r="A431" s="715" t="s">
        <v>518</v>
      </c>
      <c r="B431" s="716" t="s">
        <v>3028</v>
      </c>
      <c r="C431" s="716" t="s">
        <v>3579</v>
      </c>
      <c r="D431" s="716" t="s">
        <v>3774</v>
      </c>
      <c r="E431" s="716" t="s">
        <v>3775</v>
      </c>
      <c r="F431" s="720">
        <v>1</v>
      </c>
      <c r="G431" s="720">
        <v>1423.96</v>
      </c>
      <c r="H431" s="720"/>
      <c r="I431" s="720">
        <v>1423.96</v>
      </c>
      <c r="J431" s="720"/>
      <c r="K431" s="720"/>
      <c r="L431" s="720"/>
      <c r="M431" s="720"/>
      <c r="N431" s="720"/>
      <c r="O431" s="720"/>
      <c r="P431" s="745"/>
      <c r="Q431" s="721"/>
    </row>
    <row r="432" spans="1:17" ht="14.45" customHeight="1" x14ac:dyDescent="0.2">
      <c r="A432" s="715" t="s">
        <v>518</v>
      </c>
      <c r="B432" s="716" t="s">
        <v>3028</v>
      </c>
      <c r="C432" s="716" t="s">
        <v>3579</v>
      </c>
      <c r="D432" s="716" t="s">
        <v>3776</v>
      </c>
      <c r="E432" s="716" t="s">
        <v>3777</v>
      </c>
      <c r="F432" s="720">
        <v>2</v>
      </c>
      <c r="G432" s="720">
        <v>437.34</v>
      </c>
      <c r="H432" s="720">
        <v>1</v>
      </c>
      <c r="I432" s="720">
        <v>218.67</v>
      </c>
      <c r="J432" s="720">
        <v>2</v>
      </c>
      <c r="K432" s="720">
        <v>437.34</v>
      </c>
      <c r="L432" s="720">
        <v>1</v>
      </c>
      <c r="M432" s="720">
        <v>218.67</v>
      </c>
      <c r="N432" s="720">
        <v>2</v>
      </c>
      <c r="O432" s="720">
        <v>437.34</v>
      </c>
      <c r="P432" s="745">
        <v>1</v>
      </c>
      <c r="Q432" s="721">
        <v>218.67</v>
      </c>
    </row>
    <row r="433" spans="1:17" ht="14.45" customHeight="1" x14ac:dyDescent="0.2">
      <c r="A433" s="715" t="s">
        <v>518</v>
      </c>
      <c r="B433" s="716" t="s">
        <v>3028</v>
      </c>
      <c r="C433" s="716" t="s">
        <v>3579</v>
      </c>
      <c r="D433" s="716" t="s">
        <v>3778</v>
      </c>
      <c r="E433" s="716" t="s">
        <v>3779</v>
      </c>
      <c r="F433" s="720"/>
      <c r="G433" s="720"/>
      <c r="H433" s="720"/>
      <c r="I433" s="720"/>
      <c r="J433" s="720"/>
      <c r="K433" s="720"/>
      <c r="L433" s="720"/>
      <c r="M433" s="720"/>
      <c r="N433" s="720">
        <v>2</v>
      </c>
      <c r="O433" s="720">
        <v>3566.96</v>
      </c>
      <c r="P433" s="745"/>
      <c r="Q433" s="721">
        <v>1783.48</v>
      </c>
    </row>
    <row r="434" spans="1:17" ht="14.45" customHeight="1" x14ac:dyDescent="0.2">
      <c r="A434" s="715" t="s">
        <v>518</v>
      </c>
      <c r="B434" s="716" t="s">
        <v>3028</v>
      </c>
      <c r="C434" s="716" t="s">
        <v>3579</v>
      </c>
      <c r="D434" s="716" t="s">
        <v>3780</v>
      </c>
      <c r="E434" s="716" t="s">
        <v>3781</v>
      </c>
      <c r="F434" s="720"/>
      <c r="G434" s="720"/>
      <c r="H434" s="720"/>
      <c r="I434" s="720"/>
      <c r="J434" s="720"/>
      <c r="K434" s="720"/>
      <c r="L434" s="720"/>
      <c r="M434" s="720"/>
      <c r="N434" s="720">
        <v>1</v>
      </c>
      <c r="O434" s="720">
        <v>239.4</v>
      </c>
      <c r="P434" s="745"/>
      <c r="Q434" s="721">
        <v>239.4</v>
      </c>
    </row>
    <row r="435" spans="1:17" ht="14.45" customHeight="1" x14ac:dyDescent="0.2">
      <c r="A435" s="715" t="s">
        <v>518</v>
      </c>
      <c r="B435" s="716" t="s">
        <v>3028</v>
      </c>
      <c r="C435" s="716" t="s">
        <v>3579</v>
      </c>
      <c r="D435" s="716" t="s">
        <v>3782</v>
      </c>
      <c r="E435" s="716" t="s">
        <v>3783</v>
      </c>
      <c r="F435" s="720"/>
      <c r="G435" s="720"/>
      <c r="H435" s="720"/>
      <c r="I435" s="720"/>
      <c r="J435" s="720">
        <v>2</v>
      </c>
      <c r="K435" s="720">
        <v>22676</v>
      </c>
      <c r="L435" s="720">
        <v>1</v>
      </c>
      <c r="M435" s="720">
        <v>11338</v>
      </c>
      <c r="N435" s="720"/>
      <c r="O435" s="720"/>
      <c r="P435" s="745"/>
      <c r="Q435" s="721"/>
    </row>
    <row r="436" spans="1:17" ht="14.45" customHeight="1" x14ac:dyDescent="0.2">
      <c r="A436" s="715" t="s">
        <v>518</v>
      </c>
      <c r="B436" s="716" t="s">
        <v>3028</v>
      </c>
      <c r="C436" s="716" t="s">
        <v>3579</v>
      </c>
      <c r="D436" s="716" t="s">
        <v>3784</v>
      </c>
      <c r="E436" s="716" t="s">
        <v>3785</v>
      </c>
      <c r="F436" s="720"/>
      <c r="G436" s="720"/>
      <c r="H436" s="720"/>
      <c r="I436" s="720"/>
      <c r="J436" s="720">
        <v>2</v>
      </c>
      <c r="K436" s="720">
        <v>9216</v>
      </c>
      <c r="L436" s="720">
        <v>1</v>
      </c>
      <c r="M436" s="720">
        <v>4608</v>
      </c>
      <c r="N436" s="720"/>
      <c r="O436" s="720"/>
      <c r="P436" s="745"/>
      <c r="Q436" s="721"/>
    </row>
    <row r="437" spans="1:17" ht="14.45" customHeight="1" x14ac:dyDescent="0.2">
      <c r="A437" s="715" t="s">
        <v>518</v>
      </c>
      <c r="B437" s="716" t="s">
        <v>3028</v>
      </c>
      <c r="C437" s="716" t="s">
        <v>3579</v>
      </c>
      <c r="D437" s="716" t="s">
        <v>3786</v>
      </c>
      <c r="E437" s="716" t="s">
        <v>3787</v>
      </c>
      <c r="F437" s="720"/>
      <c r="G437" s="720"/>
      <c r="H437" s="720"/>
      <c r="I437" s="720"/>
      <c r="J437" s="720">
        <v>2</v>
      </c>
      <c r="K437" s="720">
        <v>5137.96</v>
      </c>
      <c r="L437" s="720">
        <v>1</v>
      </c>
      <c r="M437" s="720">
        <v>2568.98</v>
      </c>
      <c r="N437" s="720"/>
      <c r="O437" s="720"/>
      <c r="P437" s="745"/>
      <c r="Q437" s="721"/>
    </row>
    <row r="438" spans="1:17" ht="14.45" customHeight="1" x14ac:dyDescent="0.2">
      <c r="A438" s="715" t="s">
        <v>518</v>
      </c>
      <c r="B438" s="716" t="s">
        <v>3028</v>
      </c>
      <c r="C438" s="716" t="s">
        <v>3579</v>
      </c>
      <c r="D438" s="716" t="s">
        <v>3788</v>
      </c>
      <c r="E438" s="716" t="s">
        <v>3657</v>
      </c>
      <c r="F438" s="720"/>
      <c r="G438" s="720"/>
      <c r="H438" s="720"/>
      <c r="I438" s="720"/>
      <c r="J438" s="720">
        <v>2</v>
      </c>
      <c r="K438" s="720">
        <v>2773.3</v>
      </c>
      <c r="L438" s="720">
        <v>1</v>
      </c>
      <c r="M438" s="720">
        <v>1386.65</v>
      </c>
      <c r="N438" s="720"/>
      <c r="O438" s="720"/>
      <c r="P438" s="745"/>
      <c r="Q438" s="721"/>
    </row>
    <row r="439" spans="1:17" ht="14.45" customHeight="1" x14ac:dyDescent="0.2">
      <c r="A439" s="715" t="s">
        <v>518</v>
      </c>
      <c r="B439" s="716" t="s">
        <v>3028</v>
      </c>
      <c r="C439" s="716" t="s">
        <v>3579</v>
      </c>
      <c r="D439" s="716" t="s">
        <v>3789</v>
      </c>
      <c r="E439" s="716" t="s">
        <v>3790</v>
      </c>
      <c r="F439" s="720"/>
      <c r="G439" s="720"/>
      <c r="H439" s="720"/>
      <c r="I439" s="720"/>
      <c r="J439" s="720">
        <v>2</v>
      </c>
      <c r="K439" s="720">
        <v>18279.38</v>
      </c>
      <c r="L439" s="720">
        <v>1</v>
      </c>
      <c r="M439" s="720">
        <v>9139.69</v>
      </c>
      <c r="N439" s="720"/>
      <c r="O439" s="720"/>
      <c r="P439" s="745"/>
      <c r="Q439" s="721"/>
    </row>
    <row r="440" spans="1:17" ht="14.45" customHeight="1" x14ac:dyDescent="0.2">
      <c r="A440" s="715" t="s">
        <v>518</v>
      </c>
      <c r="B440" s="716" t="s">
        <v>3028</v>
      </c>
      <c r="C440" s="716" t="s">
        <v>3579</v>
      </c>
      <c r="D440" s="716" t="s">
        <v>3791</v>
      </c>
      <c r="E440" s="716" t="s">
        <v>3792</v>
      </c>
      <c r="F440" s="720">
        <v>4</v>
      </c>
      <c r="G440" s="720">
        <v>8518.92</v>
      </c>
      <c r="H440" s="720">
        <v>2</v>
      </c>
      <c r="I440" s="720">
        <v>2129.73</v>
      </c>
      <c r="J440" s="720">
        <v>2</v>
      </c>
      <c r="K440" s="720">
        <v>4259.46</v>
      </c>
      <c r="L440" s="720">
        <v>1</v>
      </c>
      <c r="M440" s="720">
        <v>2129.73</v>
      </c>
      <c r="N440" s="720">
        <v>2</v>
      </c>
      <c r="O440" s="720">
        <v>4259.46</v>
      </c>
      <c r="P440" s="745">
        <v>1</v>
      </c>
      <c r="Q440" s="721">
        <v>2129.73</v>
      </c>
    </row>
    <row r="441" spans="1:17" ht="14.45" customHeight="1" x14ac:dyDescent="0.2">
      <c r="A441" s="715" t="s">
        <v>518</v>
      </c>
      <c r="B441" s="716" t="s">
        <v>3028</v>
      </c>
      <c r="C441" s="716" t="s">
        <v>3579</v>
      </c>
      <c r="D441" s="716" t="s">
        <v>3793</v>
      </c>
      <c r="E441" s="716" t="s">
        <v>3792</v>
      </c>
      <c r="F441" s="720"/>
      <c r="G441" s="720"/>
      <c r="H441" s="720"/>
      <c r="I441" s="720"/>
      <c r="J441" s="720"/>
      <c r="K441" s="720"/>
      <c r="L441" s="720"/>
      <c r="M441" s="720"/>
      <c r="N441" s="720">
        <v>1</v>
      </c>
      <c r="O441" s="720">
        <v>2342.1799999999998</v>
      </c>
      <c r="P441" s="745"/>
      <c r="Q441" s="721">
        <v>2342.1799999999998</v>
      </c>
    </row>
    <row r="442" spans="1:17" ht="14.45" customHeight="1" x14ac:dyDescent="0.2">
      <c r="A442" s="715" t="s">
        <v>518</v>
      </c>
      <c r="B442" s="716" t="s">
        <v>3028</v>
      </c>
      <c r="C442" s="716" t="s">
        <v>3579</v>
      </c>
      <c r="D442" s="716" t="s">
        <v>3794</v>
      </c>
      <c r="E442" s="716" t="s">
        <v>3795</v>
      </c>
      <c r="F442" s="720"/>
      <c r="G442" s="720"/>
      <c r="H442" s="720"/>
      <c r="I442" s="720"/>
      <c r="J442" s="720"/>
      <c r="K442" s="720"/>
      <c r="L442" s="720"/>
      <c r="M442" s="720"/>
      <c r="N442" s="720">
        <v>1</v>
      </c>
      <c r="O442" s="720">
        <v>3828</v>
      </c>
      <c r="P442" s="745"/>
      <c r="Q442" s="721">
        <v>3828</v>
      </c>
    </row>
    <row r="443" spans="1:17" ht="14.45" customHeight="1" x14ac:dyDescent="0.2">
      <c r="A443" s="715" t="s">
        <v>518</v>
      </c>
      <c r="B443" s="716" t="s">
        <v>3028</v>
      </c>
      <c r="C443" s="716" t="s">
        <v>3579</v>
      </c>
      <c r="D443" s="716" t="s">
        <v>3796</v>
      </c>
      <c r="E443" s="716" t="s">
        <v>3795</v>
      </c>
      <c r="F443" s="720"/>
      <c r="G443" s="720"/>
      <c r="H443" s="720"/>
      <c r="I443" s="720"/>
      <c r="J443" s="720"/>
      <c r="K443" s="720"/>
      <c r="L443" s="720"/>
      <c r="M443" s="720"/>
      <c r="N443" s="720">
        <v>1.5</v>
      </c>
      <c r="O443" s="720">
        <v>8100</v>
      </c>
      <c r="P443" s="745"/>
      <c r="Q443" s="721">
        <v>5400</v>
      </c>
    </row>
    <row r="444" spans="1:17" ht="14.45" customHeight="1" x14ac:dyDescent="0.2">
      <c r="A444" s="715" t="s">
        <v>518</v>
      </c>
      <c r="B444" s="716" t="s">
        <v>3028</v>
      </c>
      <c r="C444" s="716" t="s">
        <v>3579</v>
      </c>
      <c r="D444" s="716" t="s">
        <v>3797</v>
      </c>
      <c r="E444" s="716" t="s">
        <v>3798</v>
      </c>
      <c r="F444" s="720"/>
      <c r="G444" s="720"/>
      <c r="H444" s="720"/>
      <c r="I444" s="720"/>
      <c r="J444" s="720"/>
      <c r="K444" s="720"/>
      <c r="L444" s="720"/>
      <c r="M444" s="720"/>
      <c r="N444" s="720">
        <v>18</v>
      </c>
      <c r="O444" s="720">
        <v>9703.3499999999985</v>
      </c>
      <c r="P444" s="745"/>
      <c r="Q444" s="721">
        <v>539.07499999999993</v>
      </c>
    </row>
    <row r="445" spans="1:17" ht="14.45" customHeight="1" x14ac:dyDescent="0.2">
      <c r="A445" s="715" t="s">
        <v>518</v>
      </c>
      <c r="B445" s="716" t="s">
        <v>3028</v>
      </c>
      <c r="C445" s="716" t="s">
        <v>3579</v>
      </c>
      <c r="D445" s="716" t="s">
        <v>3799</v>
      </c>
      <c r="E445" s="716" t="s">
        <v>3800</v>
      </c>
      <c r="F445" s="720"/>
      <c r="G445" s="720"/>
      <c r="H445" s="720"/>
      <c r="I445" s="720"/>
      <c r="J445" s="720">
        <v>1</v>
      </c>
      <c r="K445" s="720">
        <v>10236.68</v>
      </c>
      <c r="L445" s="720">
        <v>1</v>
      </c>
      <c r="M445" s="720">
        <v>10236.68</v>
      </c>
      <c r="N445" s="720"/>
      <c r="O445" s="720"/>
      <c r="P445" s="745"/>
      <c r="Q445" s="721"/>
    </row>
    <row r="446" spans="1:17" ht="14.45" customHeight="1" x14ac:dyDescent="0.2">
      <c r="A446" s="715" t="s">
        <v>518</v>
      </c>
      <c r="B446" s="716" t="s">
        <v>3028</v>
      </c>
      <c r="C446" s="716" t="s">
        <v>3579</v>
      </c>
      <c r="D446" s="716" t="s">
        <v>3801</v>
      </c>
      <c r="E446" s="716" t="s">
        <v>3802</v>
      </c>
      <c r="F446" s="720">
        <v>1</v>
      </c>
      <c r="G446" s="720">
        <v>10522.82</v>
      </c>
      <c r="H446" s="720"/>
      <c r="I446" s="720">
        <v>10522.82</v>
      </c>
      <c r="J446" s="720"/>
      <c r="K446" s="720"/>
      <c r="L446" s="720"/>
      <c r="M446" s="720"/>
      <c r="N446" s="720"/>
      <c r="O446" s="720"/>
      <c r="P446" s="745"/>
      <c r="Q446" s="721"/>
    </row>
    <row r="447" spans="1:17" ht="14.45" customHeight="1" x14ac:dyDescent="0.2">
      <c r="A447" s="715" t="s">
        <v>518</v>
      </c>
      <c r="B447" s="716" t="s">
        <v>3028</v>
      </c>
      <c r="C447" s="716" t="s">
        <v>3579</v>
      </c>
      <c r="D447" s="716" t="s">
        <v>3803</v>
      </c>
      <c r="E447" s="716" t="s">
        <v>3804</v>
      </c>
      <c r="F447" s="720"/>
      <c r="G447" s="720"/>
      <c r="H447" s="720"/>
      <c r="I447" s="720"/>
      <c r="J447" s="720"/>
      <c r="K447" s="720"/>
      <c r="L447" s="720"/>
      <c r="M447" s="720"/>
      <c r="N447" s="720">
        <v>1</v>
      </c>
      <c r="O447" s="720">
        <v>3510.26</v>
      </c>
      <c r="P447" s="745"/>
      <c r="Q447" s="721">
        <v>3510.26</v>
      </c>
    </row>
    <row r="448" spans="1:17" ht="14.45" customHeight="1" x14ac:dyDescent="0.2">
      <c r="A448" s="715" t="s">
        <v>518</v>
      </c>
      <c r="B448" s="716" t="s">
        <v>3028</v>
      </c>
      <c r="C448" s="716" t="s">
        <v>3579</v>
      </c>
      <c r="D448" s="716" t="s">
        <v>3805</v>
      </c>
      <c r="E448" s="716" t="s">
        <v>3806</v>
      </c>
      <c r="F448" s="720">
        <v>1</v>
      </c>
      <c r="G448" s="720">
        <v>4487.38</v>
      </c>
      <c r="H448" s="720"/>
      <c r="I448" s="720">
        <v>4487.38</v>
      </c>
      <c r="J448" s="720"/>
      <c r="K448" s="720"/>
      <c r="L448" s="720"/>
      <c r="M448" s="720"/>
      <c r="N448" s="720">
        <v>1</v>
      </c>
      <c r="O448" s="720">
        <v>4487.38</v>
      </c>
      <c r="P448" s="745"/>
      <c r="Q448" s="721">
        <v>4487.38</v>
      </c>
    </row>
    <row r="449" spans="1:17" ht="14.45" customHeight="1" x14ac:dyDescent="0.2">
      <c r="A449" s="715" t="s">
        <v>518</v>
      </c>
      <c r="B449" s="716" t="s">
        <v>3028</v>
      </c>
      <c r="C449" s="716" t="s">
        <v>3579</v>
      </c>
      <c r="D449" s="716" t="s">
        <v>3807</v>
      </c>
      <c r="E449" s="716" t="s">
        <v>3808</v>
      </c>
      <c r="F449" s="720">
        <v>20</v>
      </c>
      <c r="G449" s="720">
        <v>3129.8</v>
      </c>
      <c r="H449" s="720"/>
      <c r="I449" s="720">
        <v>156.49</v>
      </c>
      <c r="J449" s="720"/>
      <c r="K449" s="720"/>
      <c r="L449" s="720"/>
      <c r="M449" s="720"/>
      <c r="N449" s="720"/>
      <c r="O449" s="720"/>
      <c r="P449" s="745"/>
      <c r="Q449" s="721"/>
    </row>
    <row r="450" spans="1:17" ht="14.45" customHeight="1" x14ac:dyDescent="0.2">
      <c r="A450" s="715" t="s">
        <v>518</v>
      </c>
      <c r="B450" s="716" t="s">
        <v>3028</v>
      </c>
      <c r="C450" s="716" t="s">
        <v>3579</v>
      </c>
      <c r="D450" s="716" t="s">
        <v>3809</v>
      </c>
      <c r="E450" s="716" t="s">
        <v>3808</v>
      </c>
      <c r="F450" s="720">
        <v>14</v>
      </c>
      <c r="G450" s="720">
        <v>2408.56</v>
      </c>
      <c r="H450" s="720"/>
      <c r="I450" s="720">
        <v>172.04</v>
      </c>
      <c r="J450" s="720"/>
      <c r="K450" s="720"/>
      <c r="L450" s="720"/>
      <c r="M450" s="720"/>
      <c r="N450" s="720"/>
      <c r="O450" s="720"/>
      <c r="P450" s="745"/>
      <c r="Q450" s="721"/>
    </row>
    <row r="451" spans="1:17" ht="14.45" customHeight="1" x14ac:dyDescent="0.2">
      <c r="A451" s="715" t="s">
        <v>518</v>
      </c>
      <c r="B451" s="716" t="s">
        <v>3028</v>
      </c>
      <c r="C451" s="716" t="s">
        <v>3579</v>
      </c>
      <c r="D451" s="716" t="s">
        <v>3810</v>
      </c>
      <c r="E451" s="716" t="s">
        <v>3808</v>
      </c>
      <c r="F451" s="720">
        <v>1</v>
      </c>
      <c r="G451" s="720">
        <v>312.98</v>
      </c>
      <c r="H451" s="720"/>
      <c r="I451" s="720">
        <v>312.98</v>
      </c>
      <c r="J451" s="720"/>
      <c r="K451" s="720"/>
      <c r="L451" s="720"/>
      <c r="M451" s="720"/>
      <c r="N451" s="720"/>
      <c r="O451" s="720"/>
      <c r="P451" s="745"/>
      <c r="Q451" s="721"/>
    </row>
    <row r="452" spans="1:17" ht="14.45" customHeight="1" x14ac:dyDescent="0.2">
      <c r="A452" s="715" t="s">
        <v>518</v>
      </c>
      <c r="B452" s="716" t="s">
        <v>3028</v>
      </c>
      <c r="C452" s="716" t="s">
        <v>3579</v>
      </c>
      <c r="D452" s="716" t="s">
        <v>3811</v>
      </c>
      <c r="E452" s="716" t="s">
        <v>3808</v>
      </c>
      <c r="F452" s="720">
        <v>34</v>
      </c>
      <c r="G452" s="720">
        <v>12755.44</v>
      </c>
      <c r="H452" s="720"/>
      <c r="I452" s="720">
        <v>375.16</v>
      </c>
      <c r="J452" s="720"/>
      <c r="K452" s="720"/>
      <c r="L452" s="720"/>
      <c r="M452" s="720"/>
      <c r="N452" s="720"/>
      <c r="O452" s="720"/>
      <c r="P452" s="745"/>
      <c r="Q452" s="721"/>
    </row>
    <row r="453" spans="1:17" ht="14.45" customHeight="1" x14ac:dyDescent="0.2">
      <c r="A453" s="715" t="s">
        <v>518</v>
      </c>
      <c r="B453" s="716" t="s">
        <v>3028</v>
      </c>
      <c r="C453" s="716" t="s">
        <v>3579</v>
      </c>
      <c r="D453" s="716" t="s">
        <v>3812</v>
      </c>
      <c r="E453" s="716" t="s">
        <v>3808</v>
      </c>
      <c r="F453" s="720">
        <v>14</v>
      </c>
      <c r="G453" s="720">
        <v>7515.76</v>
      </c>
      <c r="H453" s="720"/>
      <c r="I453" s="720">
        <v>536.84</v>
      </c>
      <c r="J453" s="720"/>
      <c r="K453" s="720"/>
      <c r="L453" s="720"/>
      <c r="M453" s="720"/>
      <c r="N453" s="720"/>
      <c r="O453" s="720"/>
      <c r="P453" s="745"/>
      <c r="Q453" s="721"/>
    </row>
    <row r="454" spans="1:17" ht="14.45" customHeight="1" x14ac:dyDescent="0.2">
      <c r="A454" s="715" t="s">
        <v>518</v>
      </c>
      <c r="B454" s="716" t="s">
        <v>3028</v>
      </c>
      <c r="C454" s="716" t="s">
        <v>3579</v>
      </c>
      <c r="D454" s="716" t="s">
        <v>3813</v>
      </c>
      <c r="E454" s="716" t="s">
        <v>3808</v>
      </c>
      <c r="F454" s="720">
        <v>1</v>
      </c>
      <c r="G454" s="720">
        <v>417.65</v>
      </c>
      <c r="H454" s="720"/>
      <c r="I454" s="720">
        <v>417.65</v>
      </c>
      <c r="J454" s="720"/>
      <c r="K454" s="720"/>
      <c r="L454" s="720"/>
      <c r="M454" s="720"/>
      <c r="N454" s="720"/>
      <c r="O454" s="720"/>
      <c r="P454" s="745"/>
      <c r="Q454" s="721"/>
    </row>
    <row r="455" spans="1:17" ht="14.45" customHeight="1" x14ac:dyDescent="0.2">
      <c r="A455" s="715" t="s">
        <v>518</v>
      </c>
      <c r="B455" s="716" t="s">
        <v>3028</v>
      </c>
      <c r="C455" s="716" t="s">
        <v>3579</v>
      </c>
      <c r="D455" s="716" t="s">
        <v>3814</v>
      </c>
      <c r="E455" s="716" t="s">
        <v>3808</v>
      </c>
      <c r="F455" s="720">
        <v>14</v>
      </c>
      <c r="G455" s="720">
        <v>7269.08</v>
      </c>
      <c r="H455" s="720"/>
      <c r="I455" s="720">
        <v>519.22</v>
      </c>
      <c r="J455" s="720"/>
      <c r="K455" s="720"/>
      <c r="L455" s="720"/>
      <c r="M455" s="720"/>
      <c r="N455" s="720"/>
      <c r="O455" s="720"/>
      <c r="P455" s="745"/>
      <c r="Q455" s="721"/>
    </row>
    <row r="456" spans="1:17" ht="14.45" customHeight="1" x14ac:dyDescent="0.2">
      <c r="A456" s="715" t="s">
        <v>518</v>
      </c>
      <c r="B456" s="716" t="s">
        <v>3028</v>
      </c>
      <c r="C456" s="716" t="s">
        <v>3579</v>
      </c>
      <c r="D456" s="716" t="s">
        <v>3815</v>
      </c>
      <c r="E456" s="716" t="s">
        <v>3804</v>
      </c>
      <c r="F456" s="720"/>
      <c r="G456" s="720"/>
      <c r="H456" s="720"/>
      <c r="I456" s="720"/>
      <c r="J456" s="720"/>
      <c r="K456" s="720"/>
      <c r="L456" s="720"/>
      <c r="M456" s="720"/>
      <c r="N456" s="720">
        <v>1</v>
      </c>
      <c r="O456" s="720">
        <v>3859.17</v>
      </c>
      <c r="P456" s="745"/>
      <c r="Q456" s="721">
        <v>3859.17</v>
      </c>
    </row>
    <row r="457" spans="1:17" ht="14.45" customHeight="1" x14ac:dyDescent="0.2">
      <c r="A457" s="715" t="s">
        <v>518</v>
      </c>
      <c r="B457" s="716" t="s">
        <v>3028</v>
      </c>
      <c r="C457" s="716" t="s">
        <v>3579</v>
      </c>
      <c r="D457" s="716" t="s">
        <v>3816</v>
      </c>
      <c r="E457" s="716" t="s">
        <v>3817</v>
      </c>
      <c r="F457" s="720">
        <v>7</v>
      </c>
      <c r="G457" s="720">
        <v>3941</v>
      </c>
      <c r="H457" s="720">
        <v>0.31818181818181818</v>
      </c>
      <c r="I457" s="720">
        <v>563</v>
      </c>
      <c r="J457" s="720">
        <v>22</v>
      </c>
      <c r="K457" s="720">
        <v>12386</v>
      </c>
      <c r="L457" s="720">
        <v>1</v>
      </c>
      <c r="M457" s="720">
        <v>563</v>
      </c>
      <c r="N457" s="720">
        <v>35</v>
      </c>
      <c r="O457" s="720">
        <v>18831.000000000004</v>
      </c>
      <c r="P457" s="745">
        <v>1.5203455514290332</v>
      </c>
      <c r="Q457" s="721">
        <v>538.02857142857158</v>
      </c>
    </row>
    <row r="458" spans="1:17" ht="14.45" customHeight="1" x14ac:dyDescent="0.2">
      <c r="A458" s="715" t="s">
        <v>518</v>
      </c>
      <c r="B458" s="716" t="s">
        <v>3028</v>
      </c>
      <c r="C458" s="716" t="s">
        <v>3579</v>
      </c>
      <c r="D458" s="716" t="s">
        <v>3818</v>
      </c>
      <c r="E458" s="716" t="s">
        <v>3819</v>
      </c>
      <c r="F458" s="720"/>
      <c r="G458" s="720"/>
      <c r="H458" s="720"/>
      <c r="I458" s="720"/>
      <c r="J458" s="720"/>
      <c r="K458" s="720"/>
      <c r="L458" s="720"/>
      <c r="M458" s="720"/>
      <c r="N458" s="720">
        <v>2</v>
      </c>
      <c r="O458" s="720">
        <v>704.72</v>
      </c>
      <c r="P458" s="745"/>
      <c r="Q458" s="721">
        <v>352.36</v>
      </c>
    </row>
    <row r="459" spans="1:17" ht="14.45" customHeight="1" x14ac:dyDescent="0.2">
      <c r="A459" s="715" t="s">
        <v>518</v>
      </c>
      <c r="B459" s="716" t="s">
        <v>3028</v>
      </c>
      <c r="C459" s="716" t="s">
        <v>3579</v>
      </c>
      <c r="D459" s="716" t="s">
        <v>3820</v>
      </c>
      <c r="E459" s="716" t="s">
        <v>3821</v>
      </c>
      <c r="F459" s="720"/>
      <c r="G459" s="720"/>
      <c r="H459" s="720"/>
      <c r="I459" s="720"/>
      <c r="J459" s="720">
        <v>1</v>
      </c>
      <c r="K459" s="720">
        <v>699.55</v>
      </c>
      <c r="L459" s="720">
        <v>1</v>
      </c>
      <c r="M459" s="720">
        <v>699.55</v>
      </c>
      <c r="N459" s="720"/>
      <c r="O459" s="720"/>
      <c r="P459" s="745"/>
      <c r="Q459" s="721"/>
    </row>
    <row r="460" spans="1:17" ht="14.45" customHeight="1" x14ac:dyDescent="0.2">
      <c r="A460" s="715" t="s">
        <v>518</v>
      </c>
      <c r="B460" s="716" t="s">
        <v>3028</v>
      </c>
      <c r="C460" s="716" t="s">
        <v>3579</v>
      </c>
      <c r="D460" s="716" t="s">
        <v>3822</v>
      </c>
      <c r="E460" s="716" t="s">
        <v>3823</v>
      </c>
      <c r="F460" s="720"/>
      <c r="G460" s="720"/>
      <c r="H460" s="720"/>
      <c r="I460" s="720"/>
      <c r="J460" s="720">
        <v>1</v>
      </c>
      <c r="K460" s="720">
        <v>10188.49</v>
      </c>
      <c r="L460" s="720">
        <v>1</v>
      </c>
      <c r="M460" s="720">
        <v>10188.49</v>
      </c>
      <c r="N460" s="720">
        <v>1</v>
      </c>
      <c r="O460" s="720">
        <v>8710.8700000000008</v>
      </c>
      <c r="P460" s="745">
        <v>0.85497163956582389</v>
      </c>
      <c r="Q460" s="721">
        <v>8710.8700000000008</v>
      </c>
    </row>
    <row r="461" spans="1:17" ht="14.45" customHeight="1" x14ac:dyDescent="0.2">
      <c r="A461" s="715" t="s">
        <v>518</v>
      </c>
      <c r="B461" s="716" t="s">
        <v>3028</v>
      </c>
      <c r="C461" s="716" t="s">
        <v>3579</v>
      </c>
      <c r="D461" s="716" t="s">
        <v>3824</v>
      </c>
      <c r="E461" s="716" t="s">
        <v>3825</v>
      </c>
      <c r="F461" s="720"/>
      <c r="G461" s="720"/>
      <c r="H461" s="720"/>
      <c r="I461" s="720"/>
      <c r="J461" s="720">
        <v>1</v>
      </c>
      <c r="K461" s="720">
        <v>1698.82</v>
      </c>
      <c r="L461" s="720">
        <v>1</v>
      </c>
      <c r="M461" s="720">
        <v>1698.82</v>
      </c>
      <c r="N461" s="720"/>
      <c r="O461" s="720"/>
      <c r="P461" s="745"/>
      <c r="Q461" s="721"/>
    </row>
    <row r="462" spans="1:17" ht="14.45" customHeight="1" x14ac:dyDescent="0.2">
      <c r="A462" s="715" t="s">
        <v>518</v>
      </c>
      <c r="B462" s="716" t="s">
        <v>3028</v>
      </c>
      <c r="C462" s="716" t="s">
        <v>3579</v>
      </c>
      <c r="D462" s="716" t="s">
        <v>3826</v>
      </c>
      <c r="E462" s="716" t="s">
        <v>3827</v>
      </c>
      <c r="F462" s="720">
        <v>1</v>
      </c>
      <c r="G462" s="720">
        <v>7868.61</v>
      </c>
      <c r="H462" s="720"/>
      <c r="I462" s="720">
        <v>7868.61</v>
      </c>
      <c r="J462" s="720"/>
      <c r="K462" s="720"/>
      <c r="L462" s="720"/>
      <c r="M462" s="720"/>
      <c r="N462" s="720"/>
      <c r="O462" s="720"/>
      <c r="P462" s="745"/>
      <c r="Q462" s="721"/>
    </row>
    <row r="463" spans="1:17" ht="14.45" customHeight="1" x14ac:dyDescent="0.2">
      <c r="A463" s="715" t="s">
        <v>518</v>
      </c>
      <c r="B463" s="716" t="s">
        <v>3028</v>
      </c>
      <c r="C463" s="716" t="s">
        <v>3579</v>
      </c>
      <c r="D463" s="716" t="s">
        <v>3828</v>
      </c>
      <c r="E463" s="716" t="s">
        <v>3804</v>
      </c>
      <c r="F463" s="720"/>
      <c r="G463" s="720"/>
      <c r="H463" s="720"/>
      <c r="I463" s="720"/>
      <c r="J463" s="720"/>
      <c r="K463" s="720"/>
      <c r="L463" s="720"/>
      <c r="M463" s="720"/>
      <c r="N463" s="720">
        <v>1</v>
      </c>
      <c r="O463" s="720">
        <v>4208.2</v>
      </c>
      <c r="P463" s="745"/>
      <c r="Q463" s="721">
        <v>4208.2</v>
      </c>
    </row>
    <row r="464" spans="1:17" ht="14.45" customHeight="1" x14ac:dyDescent="0.2">
      <c r="A464" s="715" t="s">
        <v>518</v>
      </c>
      <c r="B464" s="716" t="s">
        <v>3028</v>
      </c>
      <c r="C464" s="716" t="s">
        <v>3579</v>
      </c>
      <c r="D464" s="716" t="s">
        <v>3829</v>
      </c>
      <c r="E464" s="716" t="s">
        <v>3763</v>
      </c>
      <c r="F464" s="720">
        <v>1</v>
      </c>
      <c r="G464" s="720">
        <v>1158.6500000000001</v>
      </c>
      <c r="H464" s="720"/>
      <c r="I464" s="720">
        <v>1158.6500000000001</v>
      </c>
      <c r="J464" s="720"/>
      <c r="K464" s="720"/>
      <c r="L464" s="720"/>
      <c r="M464" s="720"/>
      <c r="N464" s="720"/>
      <c r="O464" s="720"/>
      <c r="P464" s="745"/>
      <c r="Q464" s="721"/>
    </row>
    <row r="465" spans="1:17" ht="14.45" customHeight="1" x14ac:dyDescent="0.2">
      <c r="A465" s="715" t="s">
        <v>518</v>
      </c>
      <c r="B465" s="716" t="s">
        <v>3028</v>
      </c>
      <c r="C465" s="716" t="s">
        <v>3579</v>
      </c>
      <c r="D465" s="716" t="s">
        <v>3830</v>
      </c>
      <c r="E465" s="716" t="s">
        <v>3596</v>
      </c>
      <c r="F465" s="720">
        <v>1</v>
      </c>
      <c r="G465" s="720">
        <v>937.91</v>
      </c>
      <c r="H465" s="720"/>
      <c r="I465" s="720">
        <v>937.91</v>
      </c>
      <c r="J465" s="720"/>
      <c r="K465" s="720"/>
      <c r="L465" s="720"/>
      <c r="M465" s="720"/>
      <c r="N465" s="720">
        <v>2</v>
      </c>
      <c r="O465" s="720">
        <v>1602.42</v>
      </c>
      <c r="P465" s="745"/>
      <c r="Q465" s="721">
        <v>801.21</v>
      </c>
    </row>
    <row r="466" spans="1:17" ht="14.45" customHeight="1" x14ac:dyDescent="0.2">
      <c r="A466" s="715" t="s">
        <v>518</v>
      </c>
      <c r="B466" s="716" t="s">
        <v>3028</v>
      </c>
      <c r="C466" s="716" t="s">
        <v>3579</v>
      </c>
      <c r="D466" s="716" t="s">
        <v>3831</v>
      </c>
      <c r="E466" s="716" t="s">
        <v>3832</v>
      </c>
      <c r="F466" s="720">
        <v>1</v>
      </c>
      <c r="G466" s="720">
        <v>466.47</v>
      </c>
      <c r="H466" s="720"/>
      <c r="I466" s="720">
        <v>466.47</v>
      </c>
      <c r="J466" s="720"/>
      <c r="K466" s="720"/>
      <c r="L466" s="720"/>
      <c r="M466" s="720"/>
      <c r="N466" s="720"/>
      <c r="O466" s="720"/>
      <c r="P466" s="745"/>
      <c r="Q466" s="721"/>
    </row>
    <row r="467" spans="1:17" ht="14.45" customHeight="1" x14ac:dyDescent="0.2">
      <c r="A467" s="715" t="s">
        <v>518</v>
      </c>
      <c r="B467" s="716" t="s">
        <v>3028</v>
      </c>
      <c r="C467" s="716" t="s">
        <v>3579</v>
      </c>
      <c r="D467" s="716" t="s">
        <v>3833</v>
      </c>
      <c r="E467" s="716" t="s">
        <v>3672</v>
      </c>
      <c r="F467" s="720">
        <v>2</v>
      </c>
      <c r="G467" s="720">
        <v>1365.92</v>
      </c>
      <c r="H467" s="720"/>
      <c r="I467" s="720">
        <v>682.96</v>
      </c>
      <c r="J467" s="720"/>
      <c r="K467" s="720"/>
      <c r="L467" s="720"/>
      <c r="M467" s="720"/>
      <c r="N467" s="720"/>
      <c r="O467" s="720"/>
      <c r="P467" s="745"/>
      <c r="Q467" s="721"/>
    </row>
    <row r="468" spans="1:17" ht="14.45" customHeight="1" x14ac:dyDescent="0.2">
      <c r="A468" s="715" t="s">
        <v>518</v>
      </c>
      <c r="B468" s="716" t="s">
        <v>3028</v>
      </c>
      <c r="C468" s="716" t="s">
        <v>3579</v>
      </c>
      <c r="D468" s="716" t="s">
        <v>3834</v>
      </c>
      <c r="E468" s="716" t="s">
        <v>3835</v>
      </c>
      <c r="F468" s="720">
        <v>1</v>
      </c>
      <c r="G468" s="720">
        <v>1212.55</v>
      </c>
      <c r="H468" s="720">
        <v>0.16666666666666669</v>
      </c>
      <c r="I468" s="720">
        <v>1212.55</v>
      </c>
      <c r="J468" s="720">
        <v>6</v>
      </c>
      <c r="K468" s="720">
        <v>7275.2999999999993</v>
      </c>
      <c r="L468" s="720">
        <v>1</v>
      </c>
      <c r="M468" s="720">
        <v>1212.55</v>
      </c>
      <c r="N468" s="720">
        <v>2</v>
      </c>
      <c r="O468" s="720">
        <v>1427.12</v>
      </c>
      <c r="P468" s="745">
        <v>0.19615960853847952</v>
      </c>
      <c r="Q468" s="721">
        <v>713.56</v>
      </c>
    </row>
    <row r="469" spans="1:17" ht="14.45" customHeight="1" x14ac:dyDescent="0.2">
      <c r="A469" s="715" t="s">
        <v>518</v>
      </c>
      <c r="B469" s="716" t="s">
        <v>3028</v>
      </c>
      <c r="C469" s="716" t="s">
        <v>3579</v>
      </c>
      <c r="D469" s="716" t="s">
        <v>3836</v>
      </c>
      <c r="E469" s="716" t="s">
        <v>3837</v>
      </c>
      <c r="F469" s="720"/>
      <c r="G469" s="720"/>
      <c r="H469" s="720"/>
      <c r="I469" s="720"/>
      <c r="J469" s="720">
        <v>1</v>
      </c>
      <c r="K469" s="720">
        <v>7358.18</v>
      </c>
      <c r="L469" s="720">
        <v>1</v>
      </c>
      <c r="M469" s="720">
        <v>7358.18</v>
      </c>
      <c r="N469" s="720"/>
      <c r="O469" s="720"/>
      <c r="P469" s="745"/>
      <c r="Q469" s="721"/>
    </row>
    <row r="470" spans="1:17" ht="14.45" customHeight="1" x14ac:dyDescent="0.2">
      <c r="A470" s="715" t="s">
        <v>518</v>
      </c>
      <c r="B470" s="716" t="s">
        <v>3028</v>
      </c>
      <c r="C470" s="716" t="s">
        <v>3579</v>
      </c>
      <c r="D470" s="716" t="s">
        <v>3838</v>
      </c>
      <c r="E470" s="716" t="s">
        <v>3839</v>
      </c>
      <c r="F470" s="720">
        <v>25</v>
      </c>
      <c r="G470" s="720">
        <v>35754.5</v>
      </c>
      <c r="H470" s="720">
        <v>0.625</v>
      </c>
      <c r="I470" s="720">
        <v>1430.18</v>
      </c>
      <c r="J470" s="720">
        <v>40</v>
      </c>
      <c r="K470" s="720">
        <v>57207.199999999997</v>
      </c>
      <c r="L470" s="720">
        <v>1</v>
      </c>
      <c r="M470" s="720">
        <v>1430.1799999999998</v>
      </c>
      <c r="N470" s="720">
        <v>30</v>
      </c>
      <c r="O470" s="720">
        <v>38382.700000000004</v>
      </c>
      <c r="P470" s="745">
        <v>0.67094176956746709</v>
      </c>
      <c r="Q470" s="721">
        <v>1279.4233333333334</v>
      </c>
    </row>
    <row r="471" spans="1:17" ht="14.45" customHeight="1" x14ac:dyDescent="0.2">
      <c r="A471" s="715" t="s">
        <v>518</v>
      </c>
      <c r="B471" s="716" t="s">
        <v>3028</v>
      </c>
      <c r="C471" s="716" t="s">
        <v>3579</v>
      </c>
      <c r="D471" s="716" t="s">
        <v>3840</v>
      </c>
      <c r="E471" s="716" t="s">
        <v>3841</v>
      </c>
      <c r="F471" s="720"/>
      <c r="G471" s="720"/>
      <c r="H471" s="720"/>
      <c r="I471" s="720"/>
      <c r="J471" s="720"/>
      <c r="K471" s="720"/>
      <c r="L471" s="720"/>
      <c r="M471" s="720"/>
      <c r="N471" s="720">
        <v>8.1999999999999993</v>
      </c>
      <c r="O471" s="720">
        <v>17297.900000000001</v>
      </c>
      <c r="P471" s="745"/>
      <c r="Q471" s="721">
        <v>2109.5000000000005</v>
      </c>
    </row>
    <row r="472" spans="1:17" ht="14.45" customHeight="1" x14ac:dyDescent="0.2">
      <c r="A472" s="715" t="s">
        <v>518</v>
      </c>
      <c r="B472" s="716" t="s">
        <v>3028</v>
      </c>
      <c r="C472" s="716" t="s">
        <v>3579</v>
      </c>
      <c r="D472" s="716" t="s">
        <v>3842</v>
      </c>
      <c r="E472" s="716" t="s">
        <v>3588</v>
      </c>
      <c r="F472" s="720"/>
      <c r="G472" s="720"/>
      <c r="H472" s="720"/>
      <c r="I472" s="720"/>
      <c r="J472" s="720">
        <v>6</v>
      </c>
      <c r="K472" s="720">
        <v>839.46</v>
      </c>
      <c r="L472" s="720">
        <v>1</v>
      </c>
      <c r="M472" s="720">
        <v>139.91</v>
      </c>
      <c r="N472" s="720"/>
      <c r="O472" s="720"/>
      <c r="P472" s="745"/>
      <c r="Q472" s="721"/>
    </row>
    <row r="473" spans="1:17" ht="14.45" customHeight="1" x14ac:dyDescent="0.2">
      <c r="A473" s="715" t="s">
        <v>518</v>
      </c>
      <c r="B473" s="716" t="s">
        <v>3028</v>
      </c>
      <c r="C473" s="716" t="s">
        <v>3579</v>
      </c>
      <c r="D473" s="716" t="s">
        <v>3843</v>
      </c>
      <c r="E473" s="716" t="s">
        <v>3844</v>
      </c>
      <c r="F473" s="720"/>
      <c r="G473" s="720"/>
      <c r="H473" s="720"/>
      <c r="I473" s="720"/>
      <c r="J473" s="720"/>
      <c r="K473" s="720"/>
      <c r="L473" s="720"/>
      <c r="M473" s="720"/>
      <c r="N473" s="720">
        <v>2</v>
      </c>
      <c r="O473" s="720">
        <v>2060</v>
      </c>
      <c r="P473" s="745"/>
      <c r="Q473" s="721">
        <v>1030</v>
      </c>
    </row>
    <row r="474" spans="1:17" ht="14.45" customHeight="1" x14ac:dyDescent="0.2">
      <c r="A474" s="715" t="s">
        <v>518</v>
      </c>
      <c r="B474" s="716" t="s">
        <v>3028</v>
      </c>
      <c r="C474" s="716" t="s">
        <v>3579</v>
      </c>
      <c r="D474" s="716" t="s">
        <v>3845</v>
      </c>
      <c r="E474" s="716" t="s">
        <v>3846</v>
      </c>
      <c r="F474" s="720"/>
      <c r="G474" s="720"/>
      <c r="H474" s="720"/>
      <c r="I474" s="720"/>
      <c r="J474" s="720"/>
      <c r="K474" s="720"/>
      <c r="L474" s="720"/>
      <c r="M474" s="720"/>
      <c r="N474" s="720">
        <v>2</v>
      </c>
      <c r="O474" s="720">
        <v>1030.48</v>
      </c>
      <c r="P474" s="745"/>
      <c r="Q474" s="721">
        <v>515.24</v>
      </c>
    </row>
    <row r="475" spans="1:17" ht="14.45" customHeight="1" x14ac:dyDescent="0.2">
      <c r="A475" s="715" t="s">
        <v>518</v>
      </c>
      <c r="B475" s="716" t="s">
        <v>3028</v>
      </c>
      <c r="C475" s="716" t="s">
        <v>3579</v>
      </c>
      <c r="D475" s="716" t="s">
        <v>3847</v>
      </c>
      <c r="E475" s="716" t="s">
        <v>3848</v>
      </c>
      <c r="F475" s="720"/>
      <c r="G475" s="720"/>
      <c r="H475" s="720"/>
      <c r="I475" s="720"/>
      <c r="J475" s="720"/>
      <c r="K475" s="720"/>
      <c r="L475" s="720"/>
      <c r="M475" s="720"/>
      <c r="N475" s="720">
        <v>2</v>
      </c>
      <c r="O475" s="720">
        <v>824</v>
      </c>
      <c r="P475" s="745"/>
      <c r="Q475" s="721">
        <v>412</v>
      </c>
    </row>
    <row r="476" spans="1:17" ht="14.45" customHeight="1" x14ac:dyDescent="0.2">
      <c r="A476" s="715" t="s">
        <v>518</v>
      </c>
      <c r="B476" s="716" t="s">
        <v>3028</v>
      </c>
      <c r="C476" s="716" t="s">
        <v>3579</v>
      </c>
      <c r="D476" s="716" t="s">
        <v>3849</v>
      </c>
      <c r="E476" s="716" t="s">
        <v>3850</v>
      </c>
      <c r="F476" s="720"/>
      <c r="G476" s="720"/>
      <c r="H476" s="720"/>
      <c r="I476" s="720"/>
      <c r="J476" s="720"/>
      <c r="K476" s="720"/>
      <c r="L476" s="720"/>
      <c r="M476" s="720"/>
      <c r="N476" s="720">
        <v>2</v>
      </c>
      <c r="O476" s="720">
        <v>16908</v>
      </c>
      <c r="P476" s="745"/>
      <c r="Q476" s="721">
        <v>8454</v>
      </c>
    </row>
    <row r="477" spans="1:17" ht="14.45" customHeight="1" x14ac:dyDescent="0.2">
      <c r="A477" s="715" t="s">
        <v>518</v>
      </c>
      <c r="B477" s="716" t="s">
        <v>3028</v>
      </c>
      <c r="C477" s="716" t="s">
        <v>3579</v>
      </c>
      <c r="D477" s="716" t="s">
        <v>3851</v>
      </c>
      <c r="E477" s="716" t="s">
        <v>3852</v>
      </c>
      <c r="F477" s="720">
        <v>3</v>
      </c>
      <c r="G477" s="720">
        <v>4079.13</v>
      </c>
      <c r="H477" s="720">
        <v>0.6</v>
      </c>
      <c r="I477" s="720">
        <v>1359.71</v>
      </c>
      <c r="J477" s="720">
        <v>5</v>
      </c>
      <c r="K477" s="720">
        <v>6798.55</v>
      </c>
      <c r="L477" s="720">
        <v>1</v>
      </c>
      <c r="M477" s="720">
        <v>1359.71</v>
      </c>
      <c r="N477" s="720">
        <v>4</v>
      </c>
      <c r="O477" s="720">
        <v>4409.12</v>
      </c>
      <c r="P477" s="745">
        <v>0.64853829125328188</v>
      </c>
      <c r="Q477" s="721">
        <v>1102.28</v>
      </c>
    </row>
    <row r="478" spans="1:17" ht="14.45" customHeight="1" x14ac:dyDescent="0.2">
      <c r="A478" s="715" t="s">
        <v>518</v>
      </c>
      <c r="B478" s="716" t="s">
        <v>3028</v>
      </c>
      <c r="C478" s="716" t="s">
        <v>3579</v>
      </c>
      <c r="D478" s="716" t="s">
        <v>3853</v>
      </c>
      <c r="E478" s="716" t="s">
        <v>3854</v>
      </c>
      <c r="F478" s="720">
        <v>2</v>
      </c>
      <c r="G478" s="720">
        <v>14180.56</v>
      </c>
      <c r="H478" s="720"/>
      <c r="I478" s="720">
        <v>7090.28</v>
      </c>
      <c r="J478" s="720"/>
      <c r="K478" s="720"/>
      <c r="L478" s="720"/>
      <c r="M478" s="720"/>
      <c r="N478" s="720"/>
      <c r="O478" s="720"/>
      <c r="P478" s="745"/>
      <c r="Q478" s="721"/>
    </row>
    <row r="479" spans="1:17" ht="14.45" customHeight="1" x14ac:dyDescent="0.2">
      <c r="A479" s="715" t="s">
        <v>518</v>
      </c>
      <c r="B479" s="716" t="s">
        <v>3028</v>
      </c>
      <c r="C479" s="716" t="s">
        <v>3579</v>
      </c>
      <c r="D479" s="716" t="s">
        <v>3855</v>
      </c>
      <c r="E479" s="716" t="s">
        <v>3672</v>
      </c>
      <c r="F479" s="720">
        <v>1</v>
      </c>
      <c r="G479" s="720">
        <v>662.24</v>
      </c>
      <c r="H479" s="720"/>
      <c r="I479" s="720">
        <v>662.24</v>
      </c>
      <c r="J479" s="720"/>
      <c r="K479" s="720"/>
      <c r="L479" s="720"/>
      <c r="M479" s="720"/>
      <c r="N479" s="720"/>
      <c r="O479" s="720"/>
      <c r="P479" s="745"/>
      <c r="Q479" s="721"/>
    </row>
    <row r="480" spans="1:17" ht="14.45" customHeight="1" x14ac:dyDescent="0.2">
      <c r="A480" s="715" t="s">
        <v>518</v>
      </c>
      <c r="B480" s="716" t="s">
        <v>3028</v>
      </c>
      <c r="C480" s="716" t="s">
        <v>3579</v>
      </c>
      <c r="D480" s="716" t="s">
        <v>3856</v>
      </c>
      <c r="E480" s="716" t="s">
        <v>3857</v>
      </c>
      <c r="F480" s="720">
        <v>22.4</v>
      </c>
      <c r="G480" s="720">
        <v>24096.799999999999</v>
      </c>
      <c r="H480" s="720">
        <v>1.723076923076923</v>
      </c>
      <c r="I480" s="720">
        <v>1075.75</v>
      </c>
      <c r="J480" s="720">
        <v>13</v>
      </c>
      <c r="K480" s="720">
        <v>13984.75</v>
      </c>
      <c r="L480" s="720">
        <v>1</v>
      </c>
      <c r="M480" s="720">
        <v>1075.75</v>
      </c>
      <c r="N480" s="720">
        <v>6</v>
      </c>
      <c r="O480" s="720">
        <v>5467.34</v>
      </c>
      <c r="P480" s="745">
        <v>0.39095014211909401</v>
      </c>
      <c r="Q480" s="721">
        <v>911.22333333333336</v>
      </c>
    </row>
    <row r="481" spans="1:17" ht="14.45" customHeight="1" x14ac:dyDescent="0.2">
      <c r="A481" s="715" t="s">
        <v>518</v>
      </c>
      <c r="B481" s="716" t="s">
        <v>3028</v>
      </c>
      <c r="C481" s="716" t="s">
        <v>3579</v>
      </c>
      <c r="D481" s="716" t="s">
        <v>3858</v>
      </c>
      <c r="E481" s="716" t="s">
        <v>3859</v>
      </c>
      <c r="F481" s="720">
        <v>8</v>
      </c>
      <c r="G481" s="720">
        <v>6115.1999999999989</v>
      </c>
      <c r="H481" s="720">
        <v>0.79999999999999982</v>
      </c>
      <c r="I481" s="720">
        <v>764.39999999999986</v>
      </c>
      <c r="J481" s="720">
        <v>10</v>
      </c>
      <c r="K481" s="720">
        <v>7644</v>
      </c>
      <c r="L481" s="720">
        <v>1</v>
      </c>
      <c r="M481" s="720">
        <v>764.4</v>
      </c>
      <c r="N481" s="720">
        <v>4</v>
      </c>
      <c r="O481" s="720">
        <v>2691.63</v>
      </c>
      <c r="P481" s="745">
        <v>0.35212323390894823</v>
      </c>
      <c r="Q481" s="721">
        <v>672.90750000000003</v>
      </c>
    </row>
    <row r="482" spans="1:17" ht="14.45" customHeight="1" x14ac:dyDescent="0.2">
      <c r="A482" s="715" t="s">
        <v>518</v>
      </c>
      <c r="B482" s="716" t="s">
        <v>3028</v>
      </c>
      <c r="C482" s="716" t="s">
        <v>3579</v>
      </c>
      <c r="D482" s="716" t="s">
        <v>3860</v>
      </c>
      <c r="E482" s="716" t="s">
        <v>3861</v>
      </c>
      <c r="F482" s="720">
        <v>26</v>
      </c>
      <c r="G482" s="720">
        <v>42034.979999999996</v>
      </c>
      <c r="H482" s="720">
        <v>0.61904761904761907</v>
      </c>
      <c r="I482" s="720">
        <v>1616.7299999999998</v>
      </c>
      <c r="J482" s="720">
        <v>42</v>
      </c>
      <c r="K482" s="720">
        <v>67902.659999999989</v>
      </c>
      <c r="L482" s="720">
        <v>1</v>
      </c>
      <c r="M482" s="720">
        <v>1616.7299999999998</v>
      </c>
      <c r="N482" s="720">
        <v>30.1</v>
      </c>
      <c r="O482" s="720">
        <v>46528.380000000005</v>
      </c>
      <c r="P482" s="745">
        <v>0.6852217571447129</v>
      </c>
      <c r="Q482" s="721">
        <v>1545.7933554817278</v>
      </c>
    </row>
    <row r="483" spans="1:17" ht="14.45" customHeight="1" x14ac:dyDescent="0.2">
      <c r="A483" s="715" t="s">
        <v>518</v>
      </c>
      <c r="B483" s="716" t="s">
        <v>3028</v>
      </c>
      <c r="C483" s="716" t="s">
        <v>3579</v>
      </c>
      <c r="D483" s="716" t="s">
        <v>3862</v>
      </c>
      <c r="E483" s="716" t="s">
        <v>3863</v>
      </c>
      <c r="F483" s="720">
        <v>1</v>
      </c>
      <c r="G483" s="720">
        <v>248.73</v>
      </c>
      <c r="H483" s="720"/>
      <c r="I483" s="720">
        <v>248.73</v>
      </c>
      <c r="J483" s="720"/>
      <c r="K483" s="720"/>
      <c r="L483" s="720"/>
      <c r="M483" s="720"/>
      <c r="N483" s="720">
        <v>2</v>
      </c>
      <c r="O483" s="720">
        <v>497.46</v>
      </c>
      <c r="P483" s="745"/>
      <c r="Q483" s="721">
        <v>248.73</v>
      </c>
    </row>
    <row r="484" spans="1:17" ht="14.45" customHeight="1" x14ac:dyDescent="0.2">
      <c r="A484" s="715" t="s">
        <v>518</v>
      </c>
      <c r="B484" s="716" t="s">
        <v>3028</v>
      </c>
      <c r="C484" s="716" t="s">
        <v>3579</v>
      </c>
      <c r="D484" s="716" t="s">
        <v>3864</v>
      </c>
      <c r="E484" s="716" t="s">
        <v>3865</v>
      </c>
      <c r="F484" s="720">
        <v>3</v>
      </c>
      <c r="G484" s="720">
        <v>3830.4</v>
      </c>
      <c r="H484" s="720"/>
      <c r="I484" s="720">
        <v>1276.8</v>
      </c>
      <c r="J484" s="720"/>
      <c r="K484" s="720"/>
      <c r="L484" s="720"/>
      <c r="M484" s="720"/>
      <c r="N484" s="720"/>
      <c r="O484" s="720"/>
      <c r="P484" s="745"/>
      <c r="Q484" s="721"/>
    </row>
    <row r="485" spans="1:17" ht="14.45" customHeight="1" x14ac:dyDescent="0.2">
      <c r="A485" s="715" t="s">
        <v>518</v>
      </c>
      <c r="B485" s="716" t="s">
        <v>3028</v>
      </c>
      <c r="C485" s="716" t="s">
        <v>3579</v>
      </c>
      <c r="D485" s="716" t="s">
        <v>3866</v>
      </c>
      <c r="E485" s="716" t="s">
        <v>3867</v>
      </c>
      <c r="F485" s="720">
        <v>2</v>
      </c>
      <c r="G485" s="720">
        <v>177.8</v>
      </c>
      <c r="H485" s="720">
        <v>0.11111111111111112</v>
      </c>
      <c r="I485" s="720">
        <v>88.9</v>
      </c>
      <c r="J485" s="720">
        <v>18</v>
      </c>
      <c r="K485" s="720">
        <v>1600.2</v>
      </c>
      <c r="L485" s="720">
        <v>1</v>
      </c>
      <c r="M485" s="720">
        <v>88.9</v>
      </c>
      <c r="N485" s="720">
        <v>13</v>
      </c>
      <c r="O485" s="720">
        <v>1155.7</v>
      </c>
      <c r="P485" s="745">
        <v>0.72222222222222221</v>
      </c>
      <c r="Q485" s="721">
        <v>88.9</v>
      </c>
    </row>
    <row r="486" spans="1:17" ht="14.45" customHeight="1" x14ac:dyDescent="0.2">
      <c r="A486" s="715" t="s">
        <v>518</v>
      </c>
      <c r="B486" s="716" t="s">
        <v>3028</v>
      </c>
      <c r="C486" s="716" t="s">
        <v>3579</v>
      </c>
      <c r="D486" s="716" t="s">
        <v>3868</v>
      </c>
      <c r="E486" s="716" t="s">
        <v>3869</v>
      </c>
      <c r="F486" s="720">
        <v>4</v>
      </c>
      <c r="G486" s="720">
        <v>73140</v>
      </c>
      <c r="H486" s="720"/>
      <c r="I486" s="720">
        <v>18285</v>
      </c>
      <c r="J486" s="720"/>
      <c r="K486" s="720"/>
      <c r="L486" s="720"/>
      <c r="M486" s="720"/>
      <c r="N486" s="720">
        <v>1</v>
      </c>
      <c r="O486" s="720">
        <v>18285</v>
      </c>
      <c r="P486" s="745"/>
      <c r="Q486" s="721">
        <v>18285</v>
      </c>
    </row>
    <row r="487" spans="1:17" ht="14.45" customHeight="1" x14ac:dyDescent="0.2">
      <c r="A487" s="715" t="s">
        <v>518</v>
      </c>
      <c r="B487" s="716" t="s">
        <v>3028</v>
      </c>
      <c r="C487" s="716" t="s">
        <v>3579</v>
      </c>
      <c r="D487" s="716" t="s">
        <v>3870</v>
      </c>
      <c r="E487" s="716" t="s">
        <v>3674</v>
      </c>
      <c r="F487" s="720">
        <v>1</v>
      </c>
      <c r="G487" s="720">
        <v>19400.72</v>
      </c>
      <c r="H487" s="720"/>
      <c r="I487" s="720">
        <v>19400.72</v>
      </c>
      <c r="J487" s="720"/>
      <c r="K487" s="720"/>
      <c r="L487" s="720"/>
      <c r="M487" s="720"/>
      <c r="N487" s="720"/>
      <c r="O487" s="720"/>
      <c r="P487" s="745"/>
      <c r="Q487" s="721"/>
    </row>
    <row r="488" spans="1:17" ht="14.45" customHeight="1" x14ac:dyDescent="0.2">
      <c r="A488" s="715" t="s">
        <v>518</v>
      </c>
      <c r="B488" s="716" t="s">
        <v>3028</v>
      </c>
      <c r="C488" s="716" t="s">
        <v>3579</v>
      </c>
      <c r="D488" s="716" t="s">
        <v>3871</v>
      </c>
      <c r="E488" s="716" t="s">
        <v>3872</v>
      </c>
      <c r="F488" s="720">
        <v>1.5000000000000002</v>
      </c>
      <c r="G488" s="720">
        <v>100.5</v>
      </c>
      <c r="H488" s="720">
        <v>1</v>
      </c>
      <c r="I488" s="720">
        <v>66.999999999999986</v>
      </c>
      <c r="J488" s="720">
        <v>1.5</v>
      </c>
      <c r="K488" s="720">
        <v>100.5</v>
      </c>
      <c r="L488" s="720">
        <v>1</v>
      </c>
      <c r="M488" s="720">
        <v>67</v>
      </c>
      <c r="N488" s="720">
        <v>1.9000000000000001</v>
      </c>
      <c r="O488" s="720">
        <v>127.30000000000001</v>
      </c>
      <c r="P488" s="745">
        <v>1.2666666666666668</v>
      </c>
      <c r="Q488" s="721">
        <v>67</v>
      </c>
    </row>
    <row r="489" spans="1:17" ht="14.45" customHeight="1" x14ac:dyDescent="0.2">
      <c r="A489" s="715" t="s">
        <v>518</v>
      </c>
      <c r="B489" s="716" t="s">
        <v>3028</v>
      </c>
      <c r="C489" s="716" t="s">
        <v>3579</v>
      </c>
      <c r="D489" s="716" t="s">
        <v>3873</v>
      </c>
      <c r="E489" s="716" t="s">
        <v>3874</v>
      </c>
      <c r="F489" s="720">
        <v>3</v>
      </c>
      <c r="G489" s="720">
        <v>16388.939999999999</v>
      </c>
      <c r="H489" s="720"/>
      <c r="I489" s="720">
        <v>5462.98</v>
      </c>
      <c r="J489" s="720"/>
      <c r="K489" s="720"/>
      <c r="L489" s="720"/>
      <c r="M489" s="720"/>
      <c r="N489" s="720"/>
      <c r="O489" s="720"/>
      <c r="P489" s="745"/>
      <c r="Q489" s="721"/>
    </row>
    <row r="490" spans="1:17" ht="14.45" customHeight="1" x14ac:dyDescent="0.2">
      <c r="A490" s="715" t="s">
        <v>518</v>
      </c>
      <c r="B490" s="716" t="s">
        <v>3028</v>
      </c>
      <c r="C490" s="716" t="s">
        <v>3579</v>
      </c>
      <c r="D490" s="716" t="s">
        <v>3875</v>
      </c>
      <c r="E490" s="716" t="s">
        <v>3876</v>
      </c>
      <c r="F490" s="720"/>
      <c r="G490" s="720"/>
      <c r="H490" s="720"/>
      <c r="I490" s="720"/>
      <c r="J490" s="720">
        <v>1</v>
      </c>
      <c r="K490" s="720">
        <v>5298.34</v>
      </c>
      <c r="L490" s="720">
        <v>1</v>
      </c>
      <c r="M490" s="720">
        <v>5298.34</v>
      </c>
      <c r="N490" s="720">
        <v>2</v>
      </c>
      <c r="O490" s="720">
        <v>8948.34</v>
      </c>
      <c r="P490" s="745">
        <v>1.6888950124001103</v>
      </c>
      <c r="Q490" s="721">
        <v>4474.17</v>
      </c>
    </row>
    <row r="491" spans="1:17" ht="14.45" customHeight="1" x14ac:dyDescent="0.2">
      <c r="A491" s="715" t="s">
        <v>518</v>
      </c>
      <c r="B491" s="716" t="s">
        <v>3028</v>
      </c>
      <c r="C491" s="716" t="s">
        <v>3579</v>
      </c>
      <c r="D491" s="716" t="s">
        <v>3877</v>
      </c>
      <c r="E491" s="716" t="s">
        <v>3878</v>
      </c>
      <c r="F491" s="720"/>
      <c r="G491" s="720"/>
      <c r="H491" s="720"/>
      <c r="I491" s="720"/>
      <c r="J491" s="720"/>
      <c r="K491" s="720"/>
      <c r="L491" s="720"/>
      <c r="M491" s="720"/>
      <c r="N491" s="720">
        <v>1</v>
      </c>
      <c r="O491" s="720">
        <v>2665.66</v>
      </c>
      <c r="P491" s="745"/>
      <c r="Q491" s="721">
        <v>2665.66</v>
      </c>
    </row>
    <row r="492" spans="1:17" ht="14.45" customHeight="1" x14ac:dyDescent="0.2">
      <c r="A492" s="715" t="s">
        <v>518</v>
      </c>
      <c r="B492" s="716" t="s">
        <v>3028</v>
      </c>
      <c r="C492" s="716" t="s">
        <v>3579</v>
      </c>
      <c r="D492" s="716" t="s">
        <v>3879</v>
      </c>
      <c r="E492" s="716" t="s">
        <v>3880</v>
      </c>
      <c r="F492" s="720">
        <v>5</v>
      </c>
      <c r="G492" s="720">
        <v>29498.7</v>
      </c>
      <c r="H492" s="720"/>
      <c r="I492" s="720">
        <v>5899.74</v>
      </c>
      <c r="J492" s="720"/>
      <c r="K492" s="720"/>
      <c r="L492" s="720"/>
      <c r="M492" s="720"/>
      <c r="N492" s="720"/>
      <c r="O492" s="720"/>
      <c r="P492" s="745"/>
      <c r="Q492" s="721"/>
    </row>
    <row r="493" spans="1:17" ht="14.45" customHeight="1" x14ac:dyDescent="0.2">
      <c r="A493" s="715" t="s">
        <v>518</v>
      </c>
      <c r="B493" s="716" t="s">
        <v>3028</v>
      </c>
      <c r="C493" s="716" t="s">
        <v>3579</v>
      </c>
      <c r="D493" s="716" t="s">
        <v>3881</v>
      </c>
      <c r="E493" s="716" t="s">
        <v>3882</v>
      </c>
      <c r="F493" s="720"/>
      <c r="G493" s="720"/>
      <c r="H493" s="720"/>
      <c r="I493" s="720"/>
      <c r="J493" s="720"/>
      <c r="K493" s="720"/>
      <c r="L493" s="720"/>
      <c r="M493" s="720"/>
      <c r="N493" s="720">
        <v>1</v>
      </c>
      <c r="O493" s="720">
        <v>14193</v>
      </c>
      <c r="P493" s="745"/>
      <c r="Q493" s="721">
        <v>14193</v>
      </c>
    </row>
    <row r="494" spans="1:17" ht="14.45" customHeight="1" x14ac:dyDescent="0.2">
      <c r="A494" s="715" t="s">
        <v>518</v>
      </c>
      <c r="B494" s="716" t="s">
        <v>3028</v>
      </c>
      <c r="C494" s="716" t="s">
        <v>3579</v>
      </c>
      <c r="D494" s="716" t="s">
        <v>3883</v>
      </c>
      <c r="E494" s="716" t="s">
        <v>3884</v>
      </c>
      <c r="F494" s="720"/>
      <c r="G494" s="720"/>
      <c r="H494" s="720"/>
      <c r="I494" s="720"/>
      <c r="J494" s="720"/>
      <c r="K494" s="720"/>
      <c r="L494" s="720"/>
      <c r="M494" s="720"/>
      <c r="N494" s="720">
        <v>2</v>
      </c>
      <c r="O494" s="720">
        <v>1498.54</v>
      </c>
      <c r="P494" s="745"/>
      <c r="Q494" s="721">
        <v>749.27</v>
      </c>
    </row>
    <row r="495" spans="1:17" ht="14.45" customHeight="1" x14ac:dyDescent="0.2">
      <c r="A495" s="715" t="s">
        <v>518</v>
      </c>
      <c r="B495" s="716" t="s">
        <v>3028</v>
      </c>
      <c r="C495" s="716" t="s">
        <v>3579</v>
      </c>
      <c r="D495" s="716" t="s">
        <v>3885</v>
      </c>
      <c r="E495" s="716" t="s">
        <v>3886</v>
      </c>
      <c r="F495" s="720"/>
      <c r="G495" s="720"/>
      <c r="H495" s="720"/>
      <c r="I495" s="720"/>
      <c r="J495" s="720">
        <v>2</v>
      </c>
      <c r="K495" s="720">
        <v>1104</v>
      </c>
      <c r="L495" s="720">
        <v>1</v>
      </c>
      <c r="M495" s="720">
        <v>552</v>
      </c>
      <c r="N495" s="720">
        <v>4</v>
      </c>
      <c r="O495" s="720">
        <v>2208</v>
      </c>
      <c r="P495" s="745">
        <v>2</v>
      </c>
      <c r="Q495" s="721">
        <v>552</v>
      </c>
    </row>
    <row r="496" spans="1:17" ht="14.45" customHeight="1" x14ac:dyDescent="0.2">
      <c r="A496" s="715" t="s">
        <v>518</v>
      </c>
      <c r="B496" s="716" t="s">
        <v>3028</v>
      </c>
      <c r="C496" s="716" t="s">
        <v>3579</v>
      </c>
      <c r="D496" s="716" t="s">
        <v>3887</v>
      </c>
      <c r="E496" s="716" t="s">
        <v>3888</v>
      </c>
      <c r="F496" s="720"/>
      <c r="G496" s="720"/>
      <c r="H496" s="720"/>
      <c r="I496" s="720"/>
      <c r="J496" s="720">
        <v>5</v>
      </c>
      <c r="K496" s="720">
        <v>7762.5</v>
      </c>
      <c r="L496" s="720">
        <v>1</v>
      </c>
      <c r="M496" s="720">
        <v>1552.5</v>
      </c>
      <c r="N496" s="720">
        <v>12</v>
      </c>
      <c r="O496" s="720">
        <v>14754.96</v>
      </c>
      <c r="P496" s="745">
        <v>1.9007999999999998</v>
      </c>
      <c r="Q496" s="721">
        <v>1229.58</v>
      </c>
    </row>
    <row r="497" spans="1:17" ht="14.45" customHeight="1" x14ac:dyDescent="0.2">
      <c r="A497" s="715" t="s">
        <v>518</v>
      </c>
      <c r="B497" s="716" t="s">
        <v>3028</v>
      </c>
      <c r="C497" s="716" t="s">
        <v>3579</v>
      </c>
      <c r="D497" s="716" t="s">
        <v>3889</v>
      </c>
      <c r="E497" s="716" t="s">
        <v>3888</v>
      </c>
      <c r="F497" s="720"/>
      <c r="G497" s="720"/>
      <c r="H497" s="720"/>
      <c r="I497" s="720"/>
      <c r="J497" s="720">
        <v>5</v>
      </c>
      <c r="K497" s="720">
        <v>25904.65</v>
      </c>
      <c r="L497" s="720">
        <v>1</v>
      </c>
      <c r="M497" s="720">
        <v>5180.93</v>
      </c>
      <c r="N497" s="720">
        <v>12</v>
      </c>
      <c r="O497" s="720">
        <v>62102.64</v>
      </c>
      <c r="P497" s="745">
        <v>2.3973549150442102</v>
      </c>
      <c r="Q497" s="721">
        <v>5175.22</v>
      </c>
    </row>
    <row r="498" spans="1:17" ht="14.45" customHeight="1" x14ac:dyDescent="0.2">
      <c r="A498" s="715" t="s">
        <v>518</v>
      </c>
      <c r="B498" s="716" t="s">
        <v>3028</v>
      </c>
      <c r="C498" s="716" t="s">
        <v>3579</v>
      </c>
      <c r="D498" s="716" t="s">
        <v>3890</v>
      </c>
      <c r="E498" s="716" t="s">
        <v>3808</v>
      </c>
      <c r="F498" s="720">
        <v>4</v>
      </c>
      <c r="G498" s="720">
        <v>1140.5999999999999</v>
      </c>
      <c r="H498" s="720">
        <v>0.5</v>
      </c>
      <c r="I498" s="720">
        <v>285.14999999999998</v>
      </c>
      <c r="J498" s="720">
        <v>8</v>
      </c>
      <c r="K498" s="720">
        <v>2281.1999999999998</v>
      </c>
      <c r="L498" s="720">
        <v>1</v>
      </c>
      <c r="M498" s="720">
        <v>285.14999999999998</v>
      </c>
      <c r="N498" s="720">
        <v>8</v>
      </c>
      <c r="O498" s="720">
        <v>2165.2799999999997</v>
      </c>
      <c r="P498" s="745">
        <v>0.94918463966333511</v>
      </c>
      <c r="Q498" s="721">
        <v>270.65999999999997</v>
      </c>
    </row>
    <row r="499" spans="1:17" ht="14.45" customHeight="1" x14ac:dyDescent="0.2">
      <c r="A499" s="715" t="s">
        <v>518</v>
      </c>
      <c r="B499" s="716" t="s">
        <v>3028</v>
      </c>
      <c r="C499" s="716" t="s">
        <v>3579</v>
      </c>
      <c r="D499" s="716" t="s">
        <v>3891</v>
      </c>
      <c r="E499" s="716" t="s">
        <v>3888</v>
      </c>
      <c r="F499" s="720"/>
      <c r="G499" s="720"/>
      <c r="H499" s="720"/>
      <c r="I499" s="720"/>
      <c r="J499" s="720">
        <v>2</v>
      </c>
      <c r="K499" s="720">
        <v>11040</v>
      </c>
      <c r="L499" s="720">
        <v>1</v>
      </c>
      <c r="M499" s="720">
        <v>5520</v>
      </c>
      <c r="N499" s="720">
        <v>2</v>
      </c>
      <c r="O499" s="720">
        <v>11040</v>
      </c>
      <c r="P499" s="745">
        <v>1</v>
      </c>
      <c r="Q499" s="721">
        <v>5520</v>
      </c>
    </row>
    <row r="500" spans="1:17" ht="14.45" customHeight="1" x14ac:dyDescent="0.2">
      <c r="A500" s="715" t="s">
        <v>518</v>
      </c>
      <c r="B500" s="716" t="s">
        <v>3028</v>
      </c>
      <c r="C500" s="716" t="s">
        <v>3579</v>
      </c>
      <c r="D500" s="716" t="s">
        <v>3892</v>
      </c>
      <c r="E500" s="716" t="s">
        <v>3888</v>
      </c>
      <c r="F500" s="720"/>
      <c r="G500" s="720"/>
      <c r="H500" s="720"/>
      <c r="I500" s="720"/>
      <c r="J500" s="720">
        <v>1</v>
      </c>
      <c r="K500" s="720">
        <v>1920.5</v>
      </c>
      <c r="L500" s="720">
        <v>1</v>
      </c>
      <c r="M500" s="720">
        <v>1920.5</v>
      </c>
      <c r="N500" s="720">
        <v>1</v>
      </c>
      <c r="O500" s="720">
        <v>1920.5</v>
      </c>
      <c r="P500" s="745">
        <v>1</v>
      </c>
      <c r="Q500" s="721">
        <v>1920.5</v>
      </c>
    </row>
    <row r="501" spans="1:17" ht="14.45" customHeight="1" x14ac:dyDescent="0.2">
      <c r="A501" s="715" t="s">
        <v>518</v>
      </c>
      <c r="B501" s="716" t="s">
        <v>3028</v>
      </c>
      <c r="C501" s="716" t="s">
        <v>3579</v>
      </c>
      <c r="D501" s="716" t="s">
        <v>3893</v>
      </c>
      <c r="E501" s="716" t="s">
        <v>3894</v>
      </c>
      <c r="F501" s="720"/>
      <c r="G501" s="720"/>
      <c r="H501" s="720"/>
      <c r="I501" s="720"/>
      <c r="J501" s="720">
        <v>2.7</v>
      </c>
      <c r="K501" s="720">
        <v>1607.55</v>
      </c>
      <c r="L501" s="720">
        <v>1</v>
      </c>
      <c r="M501" s="720">
        <v>595.3888888888888</v>
      </c>
      <c r="N501" s="720">
        <v>1</v>
      </c>
      <c r="O501" s="720">
        <v>595.39</v>
      </c>
      <c r="P501" s="745">
        <v>0.37037106155329541</v>
      </c>
      <c r="Q501" s="721">
        <v>595.39</v>
      </c>
    </row>
    <row r="502" spans="1:17" ht="14.45" customHeight="1" x14ac:dyDescent="0.2">
      <c r="A502" s="715" t="s">
        <v>518</v>
      </c>
      <c r="B502" s="716" t="s">
        <v>3028</v>
      </c>
      <c r="C502" s="716" t="s">
        <v>3579</v>
      </c>
      <c r="D502" s="716" t="s">
        <v>3895</v>
      </c>
      <c r="E502" s="716" t="s">
        <v>3808</v>
      </c>
      <c r="F502" s="720">
        <v>1</v>
      </c>
      <c r="G502" s="720">
        <v>691.04</v>
      </c>
      <c r="H502" s="720"/>
      <c r="I502" s="720">
        <v>691.04</v>
      </c>
      <c r="J502" s="720"/>
      <c r="K502" s="720"/>
      <c r="L502" s="720"/>
      <c r="M502" s="720"/>
      <c r="N502" s="720">
        <v>2</v>
      </c>
      <c r="O502" s="720">
        <v>1341.37</v>
      </c>
      <c r="P502" s="745"/>
      <c r="Q502" s="721">
        <v>670.68499999999995</v>
      </c>
    </row>
    <row r="503" spans="1:17" ht="14.45" customHeight="1" x14ac:dyDescent="0.2">
      <c r="A503" s="715" t="s">
        <v>518</v>
      </c>
      <c r="B503" s="716" t="s">
        <v>3028</v>
      </c>
      <c r="C503" s="716" t="s">
        <v>3579</v>
      </c>
      <c r="D503" s="716" t="s">
        <v>3896</v>
      </c>
      <c r="E503" s="716" t="s">
        <v>3808</v>
      </c>
      <c r="F503" s="720">
        <v>1</v>
      </c>
      <c r="G503" s="720">
        <v>356.58</v>
      </c>
      <c r="H503" s="720"/>
      <c r="I503" s="720">
        <v>356.58</v>
      </c>
      <c r="J503" s="720"/>
      <c r="K503" s="720"/>
      <c r="L503" s="720"/>
      <c r="M503" s="720"/>
      <c r="N503" s="720"/>
      <c r="O503" s="720"/>
      <c r="P503" s="745"/>
      <c r="Q503" s="721"/>
    </row>
    <row r="504" spans="1:17" ht="14.45" customHeight="1" x14ac:dyDescent="0.2">
      <c r="A504" s="715" t="s">
        <v>518</v>
      </c>
      <c r="B504" s="716" t="s">
        <v>3028</v>
      </c>
      <c r="C504" s="716" t="s">
        <v>3579</v>
      </c>
      <c r="D504" s="716" t="s">
        <v>3897</v>
      </c>
      <c r="E504" s="716" t="s">
        <v>3808</v>
      </c>
      <c r="F504" s="720"/>
      <c r="G504" s="720"/>
      <c r="H504" s="720"/>
      <c r="I504" s="720"/>
      <c r="J504" s="720">
        <v>1</v>
      </c>
      <c r="K504" s="720">
        <v>773.84</v>
      </c>
      <c r="L504" s="720">
        <v>1</v>
      </c>
      <c r="M504" s="720">
        <v>773.84</v>
      </c>
      <c r="N504" s="720"/>
      <c r="O504" s="720"/>
      <c r="P504" s="745"/>
      <c r="Q504" s="721"/>
    </row>
    <row r="505" spans="1:17" ht="14.45" customHeight="1" x14ac:dyDescent="0.2">
      <c r="A505" s="715" t="s">
        <v>518</v>
      </c>
      <c r="B505" s="716" t="s">
        <v>3028</v>
      </c>
      <c r="C505" s="716" t="s">
        <v>3579</v>
      </c>
      <c r="D505" s="716" t="s">
        <v>3898</v>
      </c>
      <c r="E505" s="716" t="s">
        <v>3899</v>
      </c>
      <c r="F505" s="720"/>
      <c r="G505" s="720"/>
      <c r="H505" s="720"/>
      <c r="I505" s="720"/>
      <c r="J505" s="720"/>
      <c r="K505" s="720"/>
      <c r="L505" s="720"/>
      <c r="M505" s="720"/>
      <c r="N505" s="720">
        <v>0</v>
      </c>
      <c r="O505" s="720">
        <v>0</v>
      </c>
      <c r="P505" s="745"/>
      <c r="Q505" s="721"/>
    </row>
    <row r="506" spans="1:17" ht="14.45" customHeight="1" x14ac:dyDescent="0.2">
      <c r="A506" s="715" t="s">
        <v>518</v>
      </c>
      <c r="B506" s="716" t="s">
        <v>3028</v>
      </c>
      <c r="C506" s="716" t="s">
        <v>3579</v>
      </c>
      <c r="D506" s="716" t="s">
        <v>3900</v>
      </c>
      <c r="E506" s="716" t="s">
        <v>3901</v>
      </c>
      <c r="F506" s="720">
        <v>1</v>
      </c>
      <c r="G506" s="720">
        <v>2280</v>
      </c>
      <c r="H506" s="720"/>
      <c r="I506" s="720">
        <v>2280</v>
      </c>
      <c r="J506" s="720"/>
      <c r="K506" s="720"/>
      <c r="L506" s="720"/>
      <c r="M506" s="720"/>
      <c r="N506" s="720"/>
      <c r="O506" s="720"/>
      <c r="P506" s="745"/>
      <c r="Q506" s="721"/>
    </row>
    <row r="507" spans="1:17" ht="14.45" customHeight="1" x14ac:dyDescent="0.2">
      <c r="A507" s="715" t="s">
        <v>518</v>
      </c>
      <c r="B507" s="716" t="s">
        <v>3028</v>
      </c>
      <c r="C507" s="716" t="s">
        <v>3579</v>
      </c>
      <c r="D507" s="716" t="s">
        <v>3902</v>
      </c>
      <c r="E507" s="716" t="s">
        <v>3808</v>
      </c>
      <c r="F507" s="720"/>
      <c r="G507" s="720"/>
      <c r="H507" s="720"/>
      <c r="I507" s="720"/>
      <c r="J507" s="720">
        <v>1</v>
      </c>
      <c r="K507" s="720">
        <v>712.86</v>
      </c>
      <c r="L507" s="720">
        <v>1</v>
      </c>
      <c r="M507" s="720">
        <v>712.86</v>
      </c>
      <c r="N507" s="720"/>
      <c r="O507" s="720"/>
      <c r="P507" s="745"/>
      <c r="Q507" s="721"/>
    </row>
    <row r="508" spans="1:17" ht="14.45" customHeight="1" x14ac:dyDescent="0.2">
      <c r="A508" s="715" t="s">
        <v>518</v>
      </c>
      <c r="B508" s="716" t="s">
        <v>3028</v>
      </c>
      <c r="C508" s="716" t="s">
        <v>3579</v>
      </c>
      <c r="D508" s="716" t="s">
        <v>3903</v>
      </c>
      <c r="E508" s="716" t="s">
        <v>3904</v>
      </c>
      <c r="F508" s="720"/>
      <c r="G508" s="720"/>
      <c r="H508" s="720"/>
      <c r="I508" s="720"/>
      <c r="J508" s="720"/>
      <c r="K508" s="720"/>
      <c r="L508" s="720"/>
      <c r="M508" s="720"/>
      <c r="N508" s="720">
        <v>2</v>
      </c>
      <c r="O508" s="720">
        <v>4605.3999999999996</v>
      </c>
      <c r="P508" s="745"/>
      <c r="Q508" s="721">
        <v>2302.6999999999998</v>
      </c>
    </row>
    <row r="509" spans="1:17" ht="14.45" customHeight="1" x14ac:dyDescent="0.2">
      <c r="A509" s="715" t="s">
        <v>518</v>
      </c>
      <c r="B509" s="716" t="s">
        <v>3028</v>
      </c>
      <c r="C509" s="716" t="s">
        <v>3579</v>
      </c>
      <c r="D509" s="716" t="s">
        <v>3905</v>
      </c>
      <c r="E509" s="716" t="s">
        <v>3906</v>
      </c>
      <c r="F509" s="720"/>
      <c r="G509" s="720"/>
      <c r="H509" s="720"/>
      <c r="I509" s="720"/>
      <c r="J509" s="720">
        <v>4</v>
      </c>
      <c r="K509" s="720">
        <v>1319.92</v>
      </c>
      <c r="L509" s="720">
        <v>1</v>
      </c>
      <c r="M509" s="720">
        <v>329.98</v>
      </c>
      <c r="N509" s="720">
        <v>5</v>
      </c>
      <c r="O509" s="720">
        <v>1547.35</v>
      </c>
      <c r="P509" s="745">
        <v>1.1723058973271105</v>
      </c>
      <c r="Q509" s="721">
        <v>309.46999999999997</v>
      </c>
    </row>
    <row r="510" spans="1:17" ht="14.45" customHeight="1" x14ac:dyDescent="0.2">
      <c r="A510" s="715" t="s">
        <v>518</v>
      </c>
      <c r="B510" s="716" t="s">
        <v>3028</v>
      </c>
      <c r="C510" s="716" t="s">
        <v>3579</v>
      </c>
      <c r="D510" s="716" t="s">
        <v>3907</v>
      </c>
      <c r="E510" s="716" t="s">
        <v>3908</v>
      </c>
      <c r="F510" s="720"/>
      <c r="G510" s="720"/>
      <c r="H510" s="720"/>
      <c r="I510" s="720"/>
      <c r="J510" s="720">
        <v>3</v>
      </c>
      <c r="K510" s="720">
        <v>22143</v>
      </c>
      <c r="L510" s="720">
        <v>1</v>
      </c>
      <c r="M510" s="720">
        <v>7381</v>
      </c>
      <c r="N510" s="720"/>
      <c r="O510" s="720"/>
      <c r="P510" s="745"/>
      <c r="Q510" s="721"/>
    </row>
    <row r="511" spans="1:17" ht="14.45" customHeight="1" x14ac:dyDescent="0.2">
      <c r="A511" s="715" t="s">
        <v>518</v>
      </c>
      <c r="B511" s="716" t="s">
        <v>3028</v>
      </c>
      <c r="C511" s="716" t="s">
        <v>3579</v>
      </c>
      <c r="D511" s="716" t="s">
        <v>3909</v>
      </c>
      <c r="E511" s="716" t="s">
        <v>3910</v>
      </c>
      <c r="F511" s="720"/>
      <c r="G511" s="720"/>
      <c r="H511" s="720"/>
      <c r="I511" s="720"/>
      <c r="J511" s="720">
        <v>3</v>
      </c>
      <c r="K511" s="720">
        <v>2541</v>
      </c>
      <c r="L511" s="720">
        <v>1</v>
      </c>
      <c r="M511" s="720">
        <v>847</v>
      </c>
      <c r="N511" s="720"/>
      <c r="O511" s="720"/>
      <c r="P511" s="745"/>
      <c r="Q511" s="721"/>
    </row>
    <row r="512" spans="1:17" ht="14.45" customHeight="1" x14ac:dyDescent="0.2">
      <c r="A512" s="715" t="s">
        <v>518</v>
      </c>
      <c r="B512" s="716" t="s">
        <v>3028</v>
      </c>
      <c r="C512" s="716" t="s">
        <v>3579</v>
      </c>
      <c r="D512" s="716" t="s">
        <v>3911</v>
      </c>
      <c r="E512" s="716" t="s">
        <v>3912</v>
      </c>
      <c r="F512" s="720"/>
      <c r="G512" s="720"/>
      <c r="H512" s="720"/>
      <c r="I512" s="720"/>
      <c r="J512" s="720"/>
      <c r="K512" s="720"/>
      <c r="L512" s="720"/>
      <c r="M512" s="720"/>
      <c r="N512" s="720">
        <v>4</v>
      </c>
      <c r="O512" s="720">
        <v>37720</v>
      </c>
      <c r="P512" s="745"/>
      <c r="Q512" s="721">
        <v>9430</v>
      </c>
    </row>
    <row r="513" spans="1:17" ht="14.45" customHeight="1" x14ac:dyDescent="0.2">
      <c r="A513" s="715" t="s">
        <v>518</v>
      </c>
      <c r="B513" s="716" t="s">
        <v>3028</v>
      </c>
      <c r="C513" s="716" t="s">
        <v>3579</v>
      </c>
      <c r="D513" s="716" t="s">
        <v>3913</v>
      </c>
      <c r="E513" s="716" t="s">
        <v>3649</v>
      </c>
      <c r="F513" s="720"/>
      <c r="G513" s="720"/>
      <c r="H513" s="720"/>
      <c r="I513" s="720"/>
      <c r="J513" s="720"/>
      <c r="K513" s="720"/>
      <c r="L513" s="720"/>
      <c r="M513" s="720"/>
      <c r="N513" s="720">
        <v>2</v>
      </c>
      <c r="O513" s="720">
        <v>3814.2</v>
      </c>
      <c r="P513" s="745"/>
      <c r="Q513" s="721">
        <v>1907.1</v>
      </c>
    </row>
    <row r="514" spans="1:17" ht="14.45" customHeight="1" x14ac:dyDescent="0.2">
      <c r="A514" s="715" t="s">
        <v>518</v>
      </c>
      <c r="B514" s="716" t="s">
        <v>3028</v>
      </c>
      <c r="C514" s="716" t="s">
        <v>3579</v>
      </c>
      <c r="D514" s="716" t="s">
        <v>3914</v>
      </c>
      <c r="E514" s="716" t="s">
        <v>3915</v>
      </c>
      <c r="F514" s="720"/>
      <c r="G514" s="720"/>
      <c r="H514" s="720"/>
      <c r="I514" s="720"/>
      <c r="J514" s="720"/>
      <c r="K514" s="720"/>
      <c r="L514" s="720"/>
      <c r="M514" s="720"/>
      <c r="N514" s="720">
        <v>0.1</v>
      </c>
      <c r="O514" s="720">
        <v>550.19000000000005</v>
      </c>
      <c r="P514" s="745"/>
      <c r="Q514" s="721">
        <v>5501.9000000000005</v>
      </c>
    </row>
    <row r="515" spans="1:17" ht="14.45" customHeight="1" x14ac:dyDescent="0.2">
      <c r="A515" s="715" t="s">
        <v>518</v>
      </c>
      <c r="B515" s="716" t="s">
        <v>3028</v>
      </c>
      <c r="C515" s="716" t="s">
        <v>3579</v>
      </c>
      <c r="D515" s="716" t="s">
        <v>3916</v>
      </c>
      <c r="E515" s="716" t="s">
        <v>3917</v>
      </c>
      <c r="F515" s="720"/>
      <c r="G515" s="720"/>
      <c r="H515" s="720"/>
      <c r="I515" s="720"/>
      <c r="J515" s="720">
        <v>1</v>
      </c>
      <c r="K515" s="720">
        <v>642</v>
      </c>
      <c r="L515" s="720">
        <v>1</v>
      </c>
      <c r="M515" s="720">
        <v>642</v>
      </c>
      <c r="N515" s="720">
        <v>2</v>
      </c>
      <c r="O515" s="720">
        <v>1284</v>
      </c>
      <c r="P515" s="745">
        <v>2</v>
      </c>
      <c r="Q515" s="721">
        <v>642</v>
      </c>
    </row>
    <row r="516" spans="1:17" ht="14.45" customHeight="1" x14ac:dyDescent="0.2">
      <c r="A516" s="715" t="s">
        <v>518</v>
      </c>
      <c r="B516" s="716" t="s">
        <v>3028</v>
      </c>
      <c r="C516" s="716" t="s">
        <v>3579</v>
      </c>
      <c r="D516" s="716" t="s">
        <v>3918</v>
      </c>
      <c r="E516" s="716" t="s">
        <v>3919</v>
      </c>
      <c r="F516" s="720"/>
      <c r="G516" s="720"/>
      <c r="H516" s="720"/>
      <c r="I516" s="720"/>
      <c r="J516" s="720">
        <v>1</v>
      </c>
      <c r="K516" s="720">
        <v>226.45</v>
      </c>
      <c r="L516" s="720">
        <v>1</v>
      </c>
      <c r="M516" s="720">
        <v>226.45</v>
      </c>
      <c r="N516" s="720"/>
      <c r="O516" s="720"/>
      <c r="P516" s="745"/>
      <c r="Q516" s="721"/>
    </row>
    <row r="517" spans="1:17" ht="14.45" customHeight="1" x14ac:dyDescent="0.2">
      <c r="A517" s="715" t="s">
        <v>518</v>
      </c>
      <c r="B517" s="716" t="s">
        <v>3028</v>
      </c>
      <c r="C517" s="716" t="s">
        <v>3579</v>
      </c>
      <c r="D517" s="716" t="s">
        <v>3920</v>
      </c>
      <c r="E517" s="716" t="s">
        <v>3915</v>
      </c>
      <c r="F517" s="720"/>
      <c r="G517" s="720"/>
      <c r="H517" s="720"/>
      <c r="I517" s="720"/>
      <c r="J517" s="720"/>
      <c r="K517" s="720"/>
      <c r="L517" s="720"/>
      <c r="M517" s="720"/>
      <c r="N517" s="720">
        <v>0.1</v>
      </c>
      <c r="O517" s="720">
        <v>607.85</v>
      </c>
      <c r="P517" s="745"/>
      <c r="Q517" s="721">
        <v>6078.5</v>
      </c>
    </row>
    <row r="518" spans="1:17" ht="14.45" customHeight="1" x14ac:dyDescent="0.2">
      <c r="A518" s="715" t="s">
        <v>518</v>
      </c>
      <c r="B518" s="716" t="s">
        <v>3028</v>
      </c>
      <c r="C518" s="716" t="s">
        <v>3579</v>
      </c>
      <c r="D518" s="716" t="s">
        <v>3921</v>
      </c>
      <c r="E518" s="716" t="s">
        <v>3922</v>
      </c>
      <c r="F518" s="720"/>
      <c r="G518" s="720"/>
      <c r="H518" s="720"/>
      <c r="I518" s="720"/>
      <c r="J518" s="720">
        <v>1</v>
      </c>
      <c r="K518" s="720">
        <v>312.98</v>
      </c>
      <c r="L518" s="720">
        <v>1</v>
      </c>
      <c r="M518" s="720">
        <v>312.98</v>
      </c>
      <c r="N518" s="720"/>
      <c r="O518" s="720"/>
      <c r="P518" s="745"/>
      <c r="Q518" s="721"/>
    </row>
    <row r="519" spans="1:17" ht="14.45" customHeight="1" x14ac:dyDescent="0.2">
      <c r="A519" s="715" t="s">
        <v>518</v>
      </c>
      <c r="B519" s="716" t="s">
        <v>3028</v>
      </c>
      <c r="C519" s="716" t="s">
        <v>3579</v>
      </c>
      <c r="D519" s="716" t="s">
        <v>3923</v>
      </c>
      <c r="E519" s="716" t="s">
        <v>3924</v>
      </c>
      <c r="F519" s="720"/>
      <c r="G519" s="720"/>
      <c r="H519" s="720"/>
      <c r="I519" s="720"/>
      <c r="J519" s="720"/>
      <c r="K519" s="720"/>
      <c r="L519" s="720"/>
      <c r="M519" s="720"/>
      <c r="N519" s="720">
        <v>3</v>
      </c>
      <c r="O519" s="720">
        <v>417.78</v>
      </c>
      <c r="P519" s="745"/>
      <c r="Q519" s="721">
        <v>139.26</v>
      </c>
    </row>
    <row r="520" spans="1:17" ht="14.45" customHeight="1" x14ac:dyDescent="0.2">
      <c r="A520" s="715" t="s">
        <v>518</v>
      </c>
      <c r="B520" s="716" t="s">
        <v>3028</v>
      </c>
      <c r="C520" s="716" t="s">
        <v>3579</v>
      </c>
      <c r="D520" s="716" t="s">
        <v>3925</v>
      </c>
      <c r="E520" s="716" t="s">
        <v>3926</v>
      </c>
      <c r="F520" s="720">
        <v>1</v>
      </c>
      <c r="G520" s="720">
        <v>652</v>
      </c>
      <c r="H520" s="720"/>
      <c r="I520" s="720">
        <v>652</v>
      </c>
      <c r="J520" s="720"/>
      <c r="K520" s="720"/>
      <c r="L520" s="720"/>
      <c r="M520" s="720"/>
      <c r="N520" s="720"/>
      <c r="O520" s="720"/>
      <c r="P520" s="745"/>
      <c r="Q520" s="721"/>
    </row>
    <row r="521" spans="1:17" ht="14.45" customHeight="1" x14ac:dyDescent="0.2">
      <c r="A521" s="715" t="s">
        <v>518</v>
      </c>
      <c r="B521" s="716" t="s">
        <v>3028</v>
      </c>
      <c r="C521" s="716" t="s">
        <v>3579</v>
      </c>
      <c r="D521" s="716" t="s">
        <v>3927</v>
      </c>
      <c r="E521" s="716" t="s">
        <v>3928</v>
      </c>
      <c r="F521" s="720"/>
      <c r="G521" s="720"/>
      <c r="H521" s="720"/>
      <c r="I521" s="720"/>
      <c r="J521" s="720"/>
      <c r="K521" s="720"/>
      <c r="L521" s="720"/>
      <c r="M521" s="720"/>
      <c r="N521" s="720">
        <v>1</v>
      </c>
      <c r="O521" s="720">
        <v>15673.8</v>
      </c>
      <c r="P521" s="745"/>
      <c r="Q521" s="721">
        <v>15673.8</v>
      </c>
    </row>
    <row r="522" spans="1:17" ht="14.45" customHeight="1" x14ac:dyDescent="0.2">
      <c r="A522" s="715" t="s">
        <v>518</v>
      </c>
      <c r="B522" s="716" t="s">
        <v>3028</v>
      </c>
      <c r="C522" s="716" t="s">
        <v>3579</v>
      </c>
      <c r="D522" s="716" t="s">
        <v>3929</v>
      </c>
      <c r="E522" s="716" t="s">
        <v>3649</v>
      </c>
      <c r="F522" s="720"/>
      <c r="G522" s="720"/>
      <c r="H522" s="720"/>
      <c r="I522" s="720"/>
      <c r="J522" s="720"/>
      <c r="K522" s="720"/>
      <c r="L522" s="720"/>
      <c r="M522" s="720"/>
      <c r="N522" s="720">
        <v>3</v>
      </c>
      <c r="O522" s="720">
        <v>4447.53</v>
      </c>
      <c r="P522" s="745"/>
      <c r="Q522" s="721">
        <v>1482.51</v>
      </c>
    </row>
    <row r="523" spans="1:17" ht="14.45" customHeight="1" x14ac:dyDescent="0.2">
      <c r="A523" s="715" t="s">
        <v>518</v>
      </c>
      <c r="B523" s="716" t="s">
        <v>3028</v>
      </c>
      <c r="C523" s="716" t="s">
        <v>3579</v>
      </c>
      <c r="D523" s="716" t="s">
        <v>3930</v>
      </c>
      <c r="E523" s="716" t="s">
        <v>3931</v>
      </c>
      <c r="F523" s="720"/>
      <c r="G523" s="720"/>
      <c r="H523" s="720"/>
      <c r="I523" s="720"/>
      <c r="J523" s="720">
        <v>1</v>
      </c>
      <c r="K523" s="720">
        <v>202.09</v>
      </c>
      <c r="L523" s="720">
        <v>1</v>
      </c>
      <c r="M523" s="720">
        <v>202.09</v>
      </c>
      <c r="N523" s="720"/>
      <c r="O523" s="720"/>
      <c r="P523" s="745"/>
      <c r="Q523" s="721"/>
    </row>
    <row r="524" spans="1:17" ht="14.45" customHeight="1" x14ac:dyDescent="0.2">
      <c r="A524" s="715" t="s">
        <v>518</v>
      </c>
      <c r="B524" s="716" t="s">
        <v>3028</v>
      </c>
      <c r="C524" s="716" t="s">
        <v>3579</v>
      </c>
      <c r="D524" s="716" t="s">
        <v>3932</v>
      </c>
      <c r="E524" s="716" t="s">
        <v>3928</v>
      </c>
      <c r="F524" s="720"/>
      <c r="G524" s="720"/>
      <c r="H524" s="720"/>
      <c r="I524" s="720"/>
      <c r="J524" s="720"/>
      <c r="K524" s="720"/>
      <c r="L524" s="720"/>
      <c r="M524" s="720"/>
      <c r="N524" s="720">
        <v>1</v>
      </c>
      <c r="O524" s="720">
        <v>15673.8</v>
      </c>
      <c r="P524" s="745"/>
      <c r="Q524" s="721">
        <v>15673.8</v>
      </c>
    </row>
    <row r="525" spans="1:17" ht="14.45" customHeight="1" x14ac:dyDescent="0.2">
      <c r="A525" s="715" t="s">
        <v>518</v>
      </c>
      <c r="B525" s="716" t="s">
        <v>3028</v>
      </c>
      <c r="C525" s="716" t="s">
        <v>3579</v>
      </c>
      <c r="D525" s="716" t="s">
        <v>3933</v>
      </c>
      <c r="E525" s="716" t="s">
        <v>3934</v>
      </c>
      <c r="F525" s="720"/>
      <c r="G525" s="720"/>
      <c r="H525" s="720"/>
      <c r="I525" s="720"/>
      <c r="J525" s="720">
        <v>1</v>
      </c>
      <c r="K525" s="720">
        <v>1038</v>
      </c>
      <c r="L525" s="720">
        <v>1</v>
      </c>
      <c r="M525" s="720">
        <v>1038</v>
      </c>
      <c r="N525" s="720"/>
      <c r="O525" s="720"/>
      <c r="P525" s="745"/>
      <c r="Q525" s="721"/>
    </row>
    <row r="526" spans="1:17" ht="14.45" customHeight="1" x14ac:dyDescent="0.2">
      <c r="A526" s="715" t="s">
        <v>518</v>
      </c>
      <c r="B526" s="716" t="s">
        <v>3028</v>
      </c>
      <c r="C526" s="716" t="s">
        <v>3579</v>
      </c>
      <c r="D526" s="716" t="s">
        <v>3935</v>
      </c>
      <c r="E526" s="716" t="s">
        <v>3922</v>
      </c>
      <c r="F526" s="720"/>
      <c r="G526" s="720"/>
      <c r="H526" s="720"/>
      <c r="I526" s="720"/>
      <c r="J526" s="720"/>
      <c r="K526" s="720"/>
      <c r="L526" s="720"/>
      <c r="M526" s="720"/>
      <c r="N526" s="720">
        <v>1</v>
      </c>
      <c r="O526" s="720">
        <v>236.29</v>
      </c>
      <c r="P526" s="745"/>
      <c r="Q526" s="721">
        <v>236.29</v>
      </c>
    </row>
    <row r="527" spans="1:17" ht="14.45" customHeight="1" x14ac:dyDescent="0.2">
      <c r="A527" s="715" t="s">
        <v>518</v>
      </c>
      <c r="B527" s="716" t="s">
        <v>3028</v>
      </c>
      <c r="C527" s="716" t="s">
        <v>3029</v>
      </c>
      <c r="D527" s="716" t="s">
        <v>3936</v>
      </c>
      <c r="E527" s="716" t="s">
        <v>3937</v>
      </c>
      <c r="F527" s="720">
        <v>4</v>
      </c>
      <c r="G527" s="720">
        <v>127864</v>
      </c>
      <c r="H527" s="720">
        <v>0.2857142857142857</v>
      </c>
      <c r="I527" s="720">
        <v>31966</v>
      </c>
      <c r="J527" s="720">
        <v>14</v>
      </c>
      <c r="K527" s="720">
        <v>447524</v>
      </c>
      <c r="L527" s="720">
        <v>1</v>
      </c>
      <c r="M527" s="720">
        <v>31966</v>
      </c>
      <c r="N527" s="720">
        <v>4</v>
      </c>
      <c r="O527" s="720">
        <v>127896</v>
      </c>
      <c r="P527" s="745">
        <v>0.28578579025929335</v>
      </c>
      <c r="Q527" s="721">
        <v>31974</v>
      </c>
    </row>
    <row r="528" spans="1:17" ht="14.45" customHeight="1" x14ac:dyDescent="0.2">
      <c r="A528" s="715" t="s">
        <v>518</v>
      </c>
      <c r="B528" s="716" t="s">
        <v>3028</v>
      </c>
      <c r="C528" s="716" t="s">
        <v>3029</v>
      </c>
      <c r="D528" s="716" t="s">
        <v>3938</v>
      </c>
      <c r="E528" s="716" t="s">
        <v>3939</v>
      </c>
      <c r="F528" s="720">
        <v>3126</v>
      </c>
      <c r="G528" s="720">
        <v>37190022</v>
      </c>
      <c r="H528" s="720">
        <v>1.0199021207177814</v>
      </c>
      <c r="I528" s="720">
        <v>11897</v>
      </c>
      <c r="J528" s="720">
        <v>3065</v>
      </c>
      <c r="K528" s="720">
        <v>36464305</v>
      </c>
      <c r="L528" s="720">
        <v>1</v>
      </c>
      <c r="M528" s="720">
        <v>11897</v>
      </c>
      <c r="N528" s="720">
        <v>3189</v>
      </c>
      <c r="O528" s="720">
        <v>37957466</v>
      </c>
      <c r="P528" s="745">
        <v>1.0409485660017379</v>
      </c>
      <c r="Q528" s="721">
        <v>11902.623392913139</v>
      </c>
    </row>
    <row r="529" spans="1:17" ht="14.45" customHeight="1" x14ac:dyDescent="0.2">
      <c r="A529" s="715" t="s">
        <v>518</v>
      </c>
      <c r="B529" s="716" t="s">
        <v>3028</v>
      </c>
      <c r="C529" s="716" t="s">
        <v>3029</v>
      </c>
      <c r="D529" s="716" t="s">
        <v>3940</v>
      </c>
      <c r="E529" s="716" t="s">
        <v>3941</v>
      </c>
      <c r="F529" s="720"/>
      <c r="G529" s="720"/>
      <c r="H529" s="720"/>
      <c r="I529" s="720"/>
      <c r="J529" s="720"/>
      <c r="K529" s="720"/>
      <c r="L529" s="720"/>
      <c r="M529" s="720"/>
      <c r="N529" s="720">
        <v>2</v>
      </c>
      <c r="O529" s="720">
        <v>734</v>
      </c>
      <c r="P529" s="745"/>
      <c r="Q529" s="721">
        <v>367</v>
      </c>
    </row>
    <row r="530" spans="1:17" ht="14.45" customHeight="1" x14ac:dyDescent="0.2">
      <c r="A530" s="715" t="s">
        <v>518</v>
      </c>
      <c r="B530" s="716" t="s">
        <v>3028</v>
      </c>
      <c r="C530" s="716" t="s">
        <v>3029</v>
      </c>
      <c r="D530" s="716" t="s">
        <v>3942</v>
      </c>
      <c r="E530" s="716" t="s">
        <v>3943</v>
      </c>
      <c r="F530" s="720"/>
      <c r="G530" s="720"/>
      <c r="H530" s="720"/>
      <c r="I530" s="720"/>
      <c r="J530" s="720"/>
      <c r="K530" s="720"/>
      <c r="L530" s="720"/>
      <c r="M530" s="720"/>
      <c r="N530" s="720">
        <v>1</v>
      </c>
      <c r="O530" s="720">
        <v>375</v>
      </c>
      <c r="P530" s="745"/>
      <c r="Q530" s="721">
        <v>375</v>
      </c>
    </row>
    <row r="531" spans="1:17" ht="14.45" customHeight="1" x14ac:dyDescent="0.2">
      <c r="A531" s="715" t="s">
        <v>518</v>
      </c>
      <c r="B531" s="716" t="s">
        <v>3028</v>
      </c>
      <c r="C531" s="716" t="s">
        <v>3029</v>
      </c>
      <c r="D531" s="716" t="s">
        <v>3944</v>
      </c>
      <c r="E531" s="716" t="s">
        <v>3945</v>
      </c>
      <c r="F531" s="720"/>
      <c r="G531" s="720"/>
      <c r="H531" s="720"/>
      <c r="I531" s="720"/>
      <c r="J531" s="720"/>
      <c r="K531" s="720"/>
      <c r="L531" s="720"/>
      <c r="M531" s="720"/>
      <c r="N531" s="720">
        <v>1</v>
      </c>
      <c r="O531" s="720">
        <v>989</v>
      </c>
      <c r="P531" s="745"/>
      <c r="Q531" s="721">
        <v>989</v>
      </c>
    </row>
    <row r="532" spans="1:17" ht="14.45" customHeight="1" x14ac:dyDescent="0.2">
      <c r="A532" s="715" t="s">
        <v>518</v>
      </c>
      <c r="B532" s="716" t="s">
        <v>3028</v>
      </c>
      <c r="C532" s="716" t="s">
        <v>3029</v>
      </c>
      <c r="D532" s="716" t="s">
        <v>3946</v>
      </c>
      <c r="E532" s="716" t="s">
        <v>3947</v>
      </c>
      <c r="F532" s="720">
        <v>11</v>
      </c>
      <c r="G532" s="720">
        <v>4785</v>
      </c>
      <c r="H532" s="720">
        <v>0.7839121887287025</v>
      </c>
      <c r="I532" s="720">
        <v>435</v>
      </c>
      <c r="J532" s="720">
        <v>14</v>
      </c>
      <c r="K532" s="720">
        <v>6104</v>
      </c>
      <c r="L532" s="720">
        <v>1</v>
      </c>
      <c r="M532" s="720">
        <v>436</v>
      </c>
      <c r="N532" s="720"/>
      <c r="O532" s="720"/>
      <c r="P532" s="745"/>
      <c r="Q532" s="721"/>
    </row>
    <row r="533" spans="1:17" ht="14.45" customHeight="1" x14ac:dyDescent="0.2">
      <c r="A533" s="715" t="s">
        <v>518</v>
      </c>
      <c r="B533" s="716" t="s">
        <v>3028</v>
      </c>
      <c r="C533" s="716" t="s">
        <v>3029</v>
      </c>
      <c r="D533" s="716" t="s">
        <v>3948</v>
      </c>
      <c r="E533" s="716" t="s">
        <v>3949</v>
      </c>
      <c r="F533" s="720">
        <v>2178</v>
      </c>
      <c r="G533" s="720">
        <v>849420</v>
      </c>
      <c r="H533" s="720">
        <v>0.95661653576472339</v>
      </c>
      <c r="I533" s="720">
        <v>390</v>
      </c>
      <c r="J533" s="720">
        <v>2271</v>
      </c>
      <c r="K533" s="720">
        <v>887942</v>
      </c>
      <c r="L533" s="720">
        <v>1</v>
      </c>
      <c r="M533" s="720">
        <v>390.9916336415676</v>
      </c>
      <c r="N533" s="720">
        <v>2279</v>
      </c>
      <c r="O533" s="720">
        <v>893358</v>
      </c>
      <c r="P533" s="745">
        <v>1.0060994974897008</v>
      </c>
      <c r="Q533" s="721">
        <v>391.99561211057483</v>
      </c>
    </row>
    <row r="534" spans="1:17" ht="14.45" customHeight="1" x14ac:dyDescent="0.2">
      <c r="A534" s="715" t="s">
        <v>518</v>
      </c>
      <c r="B534" s="716" t="s">
        <v>3028</v>
      </c>
      <c r="C534" s="716" t="s">
        <v>3029</v>
      </c>
      <c r="D534" s="716" t="s">
        <v>3035</v>
      </c>
      <c r="E534" s="716" t="s">
        <v>3036</v>
      </c>
      <c r="F534" s="720"/>
      <c r="G534" s="720"/>
      <c r="H534" s="720"/>
      <c r="I534" s="720"/>
      <c r="J534" s="720"/>
      <c r="K534" s="720"/>
      <c r="L534" s="720"/>
      <c r="M534" s="720"/>
      <c r="N534" s="720">
        <v>0</v>
      </c>
      <c r="O534" s="720">
        <v>0</v>
      </c>
      <c r="P534" s="745"/>
      <c r="Q534" s="721"/>
    </row>
    <row r="535" spans="1:17" ht="14.45" customHeight="1" x14ac:dyDescent="0.2">
      <c r="A535" s="715" t="s">
        <v>518</v>
      </c>
      <c r="B535" s="716" t="s">
        <v>3028</v>
      </c>
      <c r="C535" s="716" t="s">
        <v>3029</v>
      </c>
      <c r="D535" s="716" t="s">
        <v>3037</v>
      </c>
      <c r="E535" s="716" t="s">
        <v>3038</v>
      </c>
      <c r="F535" s="720"/>
      <c r="G535" s="720"/>
      <c r="H535" s="720"/>
      <c r="I535" s="720"/>
      <c r="J535" s="720"/>
      <c r="K535" s="720"/>
      <c r="L535" s="720"/>
      <c r="M535" s="720"/>
      <c r="N535" s="720">
        <v>1</v>
      </c>
      <c r="O535" s="720">
        <v>39</v>
      </c>
      <c r="P535" s="745"/>
      <c r="Q535" s="721">
        <v>39</v>
      </c>
    </row>
    <row r="536" spans="1:17" ht="14.45" customHeight="1" x14ac:dyDescent="0.2">
      <c r="A536" s="715" t="s">
        <v>518</v>
      </c>
      <c r="B536" s="716" t="s">
        <v>3028</v>
      </c>
      <c r="C536" s="716" t="s">
        <v>3029</v>
      </c>
      <c r="D536" s="716" t="s">
        <v>3950</v>
      </c>
      <c r="E536" s="716" t="s">
        <v>3951</v>
      </c>
      <c r="F536" s="720"/>
      <c r="G536" s="720"/>
      <c r="H536" s="720"/>
      <c r="I536" s="720"/>
      <c r="J536" s="720"/>
      <c r="K536" s="720"/>
      <c r="L536" s="720"/>
      <c r="M536" s="720"/>
      <c r="N536" s="720">
        <v>1</v>
      </c>
      <c r="O536" s="720">
        <v>724</v>
      </c>
      <c r="P536" s="745"/>
      <c r="Q536" s="721">
        <v>724</v>
      </c>
    </row>
    <row r="537" spans="1:17" ht="14.45" customHeight="1" x14ac:dyDescent="0.2">
      <c r="A537" s="715" t="s">
        <v>518</v>
      </c>
      <c r="B537" s="716" t="s">
        <v>3028</v>
      </c>
      <c r="C537" s="716" t="s">
        <v>3029</v>
      </c>
      <c r="D537" s="716" t="s">
        <v>3952</v>
      </c>
      <c r="E537" s="716" t="s">
        <v>3953</v>
      </c>
      <c r="F537" s="720">
        <v>1211</v>
      </c>
      <c r="G537" s="720">
        <v>303961</v>
      </c>
      <c r="H537" s="720">
        <v>0.96187754740386322</v>
      </c>
      <c r="I537" s="720">
        <v>251</v>
      </c>
      <c r="J537" s="720">
        <v>1254</v>
      </c>
      <c r="K537" s="720">
        <v>316008</v>
      </c>
      <c r="L537" s="720">
        <v>1</v>
      </c>
      <c r="M537" s="720">
        <v>252</v>
      </c>
      <c r="N537" s="720">
        <v>1208</v>
      </c>
      <c r="O537" s="720">
        <v>306832</v>
      </c>
      <c r="P537" s="745">
        <v>0.97096276043644469</v>
      </c>
      <c r="Q537" s="721">
        <v>254</v>
      </c>
    </row>
    <row r="538" spans="1:17" ht="14.45" customHeight="1" x14ac:dyDescent="0.2">
      <c r="A538" s="715" t="s">
        <v>518</v>
      </c>
      <c r="B538" s="716" t="s">
        <v>3028</v>
      </c>
      <c r="C538" s="716" t="s">
        <v>3029</v>
      </c>
      <c r="D538" s="716" t="s">
        <v>3060</v>
      </c>
      <c r="E538" s="716" t="s">
        <v>3061</v>
      </c>
      <c r="F538" s="720"/>
      <c r="G538" s="720"/>
      <c r="H538" s="720"/>
      <c r="I538" s="720"/>
      <c r="J538" s="720"/>
      <c r="K538" s="720"/>
      <c r="L538" s="720"/>
      <c r="M538" s="720"/>
      <c r="N538" s="720">
        <v>1</v>
      </c>
      <c r="O538" s="720">
        <v>2161</v>
      </c>
      <c r="P538" s="745"/>
      <c r="Q538" s="721">
        <v>2161</v>
      </c>
    </row>
    <row r="539" spans="1:17" ht="14.45" customHeight="1" x14ac:dyDescent="0.2">
      <c r="A539" s="715" t="s">
        <v>518</v>
      </c>
      <c r="B539" s="716" t="s">
        <v>3028</v>
      </c>
      <c r="C539" s="716" t="s">
        <v>3029</v>
      </c>
      <c r="D539" s="716" t="s">
        <v>3062</v>
      </c>
      <c r="E539" s="716" t="s">
        <v>3063</v>
      </c>
      <c r="F539" s="720">
        <v>1</v>
      </c>
      <c r="G539" s="720">
        <v>1679</v>
      </c>
      <c r="H539" s="720"/>
      <c r="I539" s="720">
        <v>1679</v>
      </c>
      <c r="J539" s="720"/>
      <c r="K539" s="720"/>
      <c r="L539" s="720"/>
      <c r="M539" s="720"/>
      <c r="N539" s="720"/>
      <c r="O539" s="720"/>
      <c r="P539" s="745"/>
      <c r="Q539" s="721"/>
    </row>
    <row r="540" spans="1:17" ht="14.45" customHeight="1" x14ac:dyDescent="0.2">
      <c r="A540" s="715" t="s">
        <v>518</v>
      </c>
      <c r="B540" s="716" t="s">
        <v>3028</v>
      </c>
      <c r="C540" s="716" t="s">
        <v>3029</v>
      </c>
      <c r="D540" s="716" t="s">
        <v>3381</v>
      </c>
      <c r="E540" s="716" t="s">
        <v>3382</v>
      </c>
      <c r="F540" s="720"/>
      <c r="G540" s="720"/>
      <c r="H540" s="720"/>
      <c r="I540" s="720"/>
      <c r="J540" s="720"/>
      <c r="K540" s="720"/>
      <c r="L540" s="720"/>
      <c r="M540" s="720"/>
      <c r="N540" s="720">
        <v>6</v>
      </c>
      <c r="O540" s="720">
        <v>1056</v>
      </c>
      <c r="P540" s="745"/>
      <c r="Q540" s="721">
        <v>176</v>
      </c>
    </row>
    <row r="541" spans="1:17" ht="14.45" customHeight="1" x14ac:dyDescent="0.2">
      <c r="A541" s="715" t="s">
        <v>518</v>
      </c>
      <c r="B541" s="716" t="s">
        <v>3028</v>
      </c>
      <c r="C541" s="716" t="s">
        <v>3029</v>
      </c>
      <c r="D541" s="716" t="s">
        <v>3954</v>
      </c>
      <c r="E541" s="716" t="s">
        <v>3955</v>
      </c>
      <c r="F541" s="720"/>
      <c r="G541" s="720"/>
      <c r="H541" s="720"/>
      <c r="I541" s="720"/>
      <c r="J541" s="720"/>
      <c r="K541" s="720"/>
      <c r="L541" s="720"/>
      <c r="M541" s="720"/>
      <c r="N541" s="720">
        <v>1</v>
      </c>
      <c r="O541" s="720">
        <v>544</v>
      </c>
      <c r="P541" s="745"/>
      <c r="Q541" s="721">
        <v>544</v>
      </c>
    </row>
    <row r="542" spans="1:17" ht="14.45" customHeight="1" x14ac:dyDescent="0.2">
      <c r="A542" s="715" t="s">
        <v>518</v>
      </c>
      <c r="B542" s="716" t="s">
        <v>3028</v>
      </c>
      <c r="C542" s="716" t="s">
        <v>3029</v>
      </c>
      <c r="D542" s="716" t="s">
        <v>3956</v>
      </c>
      <c r="E542" s="716" t="s">
        <v>3957</v>
      </c>
      <c r="F542" s="720"/>
      <c r="G542" s="720"/>
      <c r="H542" s="720"/>
      <c r="I542" s="720"/>
      <c r="J542" s="720"/>
      <c r="K542" s="720"/>
      <c r="L542" s="720"/>
      <c r="M542" s="720"/>
      <c r="N542" s="720">
        <v>1</v>
      </c>
      <c r="O542" s="720">
        <v>1409</v>
      </c>
      <c r="P542" s="745"/>
      <c r="Q542" s="721">
        <v>1409</v>
      </c>
    </row>
    <row r="543" spans="1:17" ht="14.45" customHeight="1" x14ac:dyDescent="0.2">
      <c r="A543" s="715" t="s">
        <v>518</v>
      </c>
      <c r="B543" s="716" t="s">
        <v>3028</v>
      </c>
      <c r="C543" s="716" t="s">
        <v>3029</v>
      </c>
      <c r="D543" s="716" t="s">
        <v>3958</v>
      </c>
      <c r="E543" s="716" t="s">
        <v>3959</v>
      </c>
      <c r="F543" s="720"/>
      <c r="G543" s="720"/>
      <c r="H543" s="720"/>
      <c r="I543" s="720"/>
      <c r="J543" s="720"/>
      <c r="K543" s="720"/>
      <c r="L543" s="720"/>
      <c r="M543" s="720"/>
      <c r="N543" s="720">
        <v>2</v>
      </c>
      <c r="O543" s="720">
        <v>2080</v>
      </c>
      <c r="P543" s="745"/>
      <c r="Q543" s="721">
        <v>1040</v>
      </c>
    </row>
    <row r="544" spans="1:17" ht="14.45" customHeight="1" x14ac:dyDescent="0.2">
      <c r="A544" s="715" t="s">
        <v>518</v>
      </c>
      <c r="B544" s="716" t="s">
        <v>3028</v>
      </c>
      <c r="C544" s="716" t="s">
        <v>3029</v>
      </c>
      <c r="D544" s="716" t="s">
        <v>3960</v>
      </c>
      <c r="E544" s="716" t="s">
        <v>3961</v>
      </c>
      <c r="F544" s="720"/>
      <c r="G544" s="720"/>
      <c r="H544" s="720"/>
      <c r="I544" s="720"/>
      <c r="J544" s="720"/>
      <c r="K544" s="720"/>
      <c r="L544" s="720"/>
      <c r="M544" s="720"/>
      <c r="N544" s="720">
        <v>3</v>
      </c>
      <c r="O544" s="720">
        <v>6336</v>
      </c>
      <c r="P544" s="745"/>
      <c r="Q544" s="721">
        <v>2112</v>
      </c>
    </row>
    <row r="545" spans="1:17" ht="14.45" customHeight="1" x14ac:dyDescent="0.2">
      <c r="A545" s="715" t="s">
        <v>518</v>
      </c>
      <c r="B545" s="716" t="s">
        <v>3028</v>
      </c>
      <c r="C545" s="716" t="s">
        <v>3029</v>
      </c>
      <c r="D545" s="716" t="s">
        <v>3962</v>
      </c>
      <c r="E545" s="716" t="s">
        <v>3963</v>
      </c>
      <c r="F545" s="720"/>
      <c r="G545" s="720"/>
      <c r="H545" s="720"/>
      <c r="I545" s="720"/>
      <c r="J545" s="720"/>
      <c r="K545" s="720"/>
      <c r="L545" s="720"/>
      <c r="M545" s="720"/>
      <c r="N545" s="720">
        <v>1</v>
      </c>
      <c r="O545" s="720">
        <v>1159</v>
      </c>
      <c r="P545" s="745"/>
      <c r="Q545" s="721">
        <v>1159</v>
      </c>
    </row>
    <row r="546" spans="1:17" ht="14.45" customHeight="1" x14ac:dyDescent="0.2">
      <c r="A546" s="715" t="s">
        <v>518</v>
      </c>
      <c r="B546" s="716" t="s">
        <v>3028</v>
      </c>
      <c r="C546" s="716" t="s">
        <v>3029</v>
      </c>
      <c r="D546" s="716" t="s">
        <v>3964</v>
      </c>
      <c r="E546" s="716" t="s">
        <v>3965</v>
      </c>
      <c r="F546" s="720">
        <v>1</v>
      </c>
      <c r="G546" s="720">
        <v>5376</v>
      </c>
      <c r="H546" s="720"/>
      <c r="I546" s="720">
        <v>5376</v>
      </c>
      <c r="J546" s="720"/>
      <c r="K546" s="720"/>
      <c r="L546" s="720"/>
      <c r="M546" s="720"/>
      <c r="N546" s="720"/>
      <c r="O546" s="720"/>
      <c r="P546" s="745"/>
      <c r="Q546" s="721"/>
    </row>
    <row r="547" spans="1:17" ht="14.45" customHeight="1" x14ac:dyDescent="0.2">
      <c r="A547" s="715" t="s">
        <v>518</v>
      </c>
      <c r="B547" s="716" t="s">
        <v>3028</v>
      </c>
      <c r="C547" s="716" t="s">
        <v>3029</v>
      </c>
      <c r="D547" s="716" t="s">
        <v>3966</v>
      </c>
      <c r="E547" s="716" t="s">
        <v>3967</v>
      </c>
      <c r="F547" s="720"/>
      <c r="G547" s="720"/>
      <c r="H547" s="720"/>
      <c r="I547" s="720"/>
      <c r="J547" s="720">
        <v>1</v>
      </c>
      <c r="K547" s="720">
        <v>3738</v>
      </c>
      <c r="L547" s="720">
        <v>1</v>
      </c>
      <c r="M547" s="720">
        <v>3738</v>
      </c>
      <c r="N547" s="720"/>
      <c r="O547" s="720"/>
      <c r="P547" s="745"/>
      <c r="Q547" s="721"/>
    </row>
    <row r="548" spans="1:17" ht="14.45" customHeight="1" x14ac:dyDescent="0.2">
      <c r="A548" s="715" t="s">
        <v>518</v>
      </c>
      <c r="B548" s="716" t="s">
        <v>3028</v>
      </c>
      <c r="C548" s="716" t="s">
        <v>3029</v>
      </c>
      <c r="D548" s="716" t="s">
        <v>3968</v>
      </c>
      <c r="E548" s="716" t="s">
        <v>3969</v>
      </c>
      <c r="F548" s="720">
        <v>1</v>
      </c>
      <c r="G548" s="720">
        <v>2216</v>
      </c>
      <c r="H548" s="720"/>
      <c r="I548" s="720">
        <v>2216</v>
      </c>
      <c r="J548" s="720"/>
      <c r="K548" s="720"/>
      <c r="L548" s="720"/>
      <c r="M548" s="720"/>
      <c r="N548" s="720"/>
      <c r="O548" s="720"/>
      <c r="P548" s="745"/>
      <c r="Q548" s="721"/>
    </row>
    <row r="549" spans="1:17" ht="14.45" customHeight="1" x14ac:dyDescent="0.2">
      <c r="A549" s="715" t="s">
        <v>518</v>
      </c>
      <c r="B549" s="716" t="s">
        <v>3028</v>
      </c>
      <c r="C549" s="716" t="s">
        <v>3029</v>
      </c>
      <c r="D549" s="716" t="s">
        <v>3970</v>
      </c>
      <c r="E549" s="716" t="s">
        <v>3971</v>
      </c>
      <c r="F549" s="720"/>
      <c r="G549" s="720"/>
      <c r="H549" s="720"/>
      <c r="I549" s="720"/>
      <c r="J549" s="720"/>
      <c r="K549" s="720"/>
      <c r="L549" s="720"/>
      <c r="M549" s="720"/>
      <c r="N549" s="720">
        <v>1</v>
      </c>
      <c r="O549" s="720">
        <v>60</v>
      </c>
      <c r="P549" s="745"/>
      <c r="Q549" s="721">
        <v>60</v>
      </c>
    </row>
    <row r="550" spans="1:17" ht="14.45" customHeight="1" x14ac:dyDescent="0.2">
      <c r="A550" s="715" t="s">
        <v>518</v>
      </c>
      <c r="B550" s="716" t="s">
        <v>3028</v>
      </c>
      <c r="C550" s="716" t="s">
        <v>3029</v>
      </c>
      <c r="D550" s="716" t="s">
        <v>3972</v>
      </c>
      <c r="E550" s="716" t="s">
        <v>3973</v>
      </c>
      <c r="F550" s="720"/>
      <c r="G550" s="720"/>
      <c r="H550" s="720"/>
      <c r="I550" s="720"/>
      <c r="J550" s="720"/>
      <c r="K550" s="720"/>
      <c r="L550" s="720"/>
      <c r="M550" s="720"/>
      <c r="N550" s="720">
        <v>1</v>
      </c>
      <c r="O550" s="720">
        <v>268</v>
      </c>
      <c r="P550" s="745"/>
      <c r="Q550" s="721">
        <v>268</v>
      </c>
    </row>
    <row r="551" spans="1:17" ht="14.45" customHeight="1" x14ac:dyDescent="0.2">
      <c r="A551" s="715" t="s">
        <v>518</v>
      </c>
      <c r="B551" s="716" t="s">
        <v>3028</v>
      </c>
      <c r="C551" s="716" t="s">
        <v>3029</v>
      </c>
      <c r="D551" s="716" t="s">
        <v>3974</v>
      </c>
      <c r="E551" s="716" t="s">
        <v>3975</v>
      </c>
      <c r="F551" s="720"/>
      <c r="G551" s="720"/>
      <c r="H551" s="720"/>
      <c r="I551" s="720"/>
      <c r="J551" s="720"/>
      <c r="K551" s="720"/>
      <c r="L551" s="720"/>
      <c r="M551" s="720"/>
      <c r="N551" s="720">
        <v>1</v>
      </c>
      <c r="O551" s="720">
        <v>139</v>
      </c>
      <c r="P551" s="745"/>
      <c r="Q551" s="721">
        <v>139</v>
      </c>
    </row>
    <row r="552" spans="1:17" ht="14.45" customHeight="1" x14ac:dyDescent="0.2">
      <c r="A552" s="715" t="s">
        <v>518</v>
      </c>
      <c r="B552" s="716" t="s">
        <v>3028</v>
      </c>
      <c r="C552" s="716" t="s">
        <v>3029</v>
      </c>
      <c r="D552" s="716" t="s">
        <v>3088</v>
      </c>
      <c r="E552" s="716" t="s">
        <v>3089</v>
      </c>
      <c r="F552" s="720"/>
      <c r="G552" s="720"/>
      <c r="H552" s="720"/>
      <c r="I552" s="720"/>
      <c r="J552" s="720"/>
      <c r="K552" s="720"/>
      <c r="L552" s="720"/>
      <c r="M552" s="720"/>
      <c r="N552" s="720">
        <v>4</v>
      </c>
      <c r="O552" s="720">
        <v>3384</v>
      </c>
      <c r="P552" s="745"/>
      <c r="Q552" s="721">
        <v>846</v>
      </c>
    </row>
    <row r="553" spans="1:17" ht="14.45" customHeight="1" x14ac:dyDescent="0.2">
      <c r="A553" s="715" t="s">
        <v>518</v>
      </c>
      <c r="B553" s="716" t="s">
        <v>3028</v>
      </c>
      <c r="C553" s="716" t="s">
        <v>3029</v>
      </c>
      <c r="D553" s="716" t="s">
        <v>3976</v>
      </c>
      <c r="E553" s="716" t="s">
        <v>3977</v>
      </c>
      <c r="F553" s="720"/>
      <c r="G553" s="720"/>
      <c r="H553" s="720"/>
      <c r="I553" s="720"/>
      <c r="J553" s="720"/>
      <c r="K553" s="720"/>
      <c r="L553" s="720"/>
      <c r="M553" s="720"/>
      <c r="N553" s="720">
        <v>1</v>
      </c>
      <c r="O553" s="720">
        <v>5255</v>
      </c>
      <c r="P553" s="745"/>
      <c r="Q553" s="721">
        <v>5255</v>
      </c>
    </row>
    <row r="554" spans="1:17" ht="14.45" customHeight="1" x14ac:dyDescent="0.2">
      <c r="A554" s="715" t="s">
        <v>518</v>
      </c>
      <c r="B554" s="716" t="s">
        <v>3028</v>
      </c>
      <c r="C554" s="716" t="s">
        <v>3029</v>
      </c>
      <c r="D554" s="716" t="s">
        <v>3978</v>
      </c>
      <c r="E554" s="716" t="s">
        <v>3979</v>
      </c>
      <c r="F554" s="720"/>
      <c r="G554" s="720"/>
      <c r="H554" s="720"/>
      <c r="I554" s="720"/>
      <c r="J554" s="720"/>
      <c r="K554" s="720"/>
      <c r="L554" s="720"/>
      <c r="M554" s="720"/>
      <c r="N554" s="720">
        <v>1</v>
      </c>
      <c r="O554" s="720">
        <v>226</v>
      </c>
      <c r="P554" s="745"/>
      <c r="Q554" s="721">
        <v>226</v>
      </c>
    </row>
    <row r="555" spans="1:17" ht="14.45" customHeight="1" x14ac:dyDescent="0.2">
      <c r="A555" s="715" t="s">
        <v>518</v>
      </c>
      <c r="B555" s="716" t="s">
        <v>3028</v>
      </c>
      <c r="C555" s="716" t="s">
        <v>3029</v>
      </c>
      <c r="D555" s="716" t="s">
        <v>3980</v>
      </c>
      <c r="E555" s="716" t="s">
        <v>3981</v>
      </c>
      <c r="F555" s="720"/>
      <c r="G555" s="720"/>
      <c r="H555" s="720"/>
      <c r="I555" s="720"/>
      <c r="J555" s="720"/>
      <c r="K555" s="720"/>
      <c r="L555" s="720"/>
      <c r="M555" s="720"/>
      <c r="N555" s="720">
        <v>1</v>
      </c>
      <c r="O555" s="720">
        <v>1801</v>
      </c>
      <c r="P555" s="745"/>
      <c r="Q555" s="721">
        <v>1801</v>
      </c>
    </row>
    <row r="556" spans="1:17" ht="14.45" customHeight="1" x14ac:dyDescent="0.2">
      <c r="A556" s="715" t="s">
        <v>518</v>
      </c>
      <c r="B556" s="716" t="s">
        <v>3028</v>
      </c>
      <c r="C556" s="716" t="s">
        <v>3029</v>
      </c>
      <c r="D556" s="716" t="s">
        <v>3982</v>
      </c>
      <c r="E556" s="716" t="s">
        <v>3983</v>
      </c>
      <c r="F556" s="720"/>
      <c r="G556" s="720"/>
      <c r="H556" s="720"/>
      <c r="I556" s="720"/>
      <c r="J556" s="720">
        <v>5</v>
      </c>
      <c r="K556" s="720">
        <v>46600</v>
      </c>
      <c r="L556" s="720">
        <v>1</v>
      </c>
      <c r="M556" s="720">
        <v>9320</v>
      </c>
      <c r="N556" s="720"/>
      <c r="O556" s="720"/>
      <c r="P556" s="745"/>
      <c r="Q556" s="721"/>
    </row>
    <row r="557" spans="1:17" ht="14.45" customHeight="1" x14ac:dyDescent="0.2">
      <c r="A557" s="715" t="s">
        <v>518</v>
      </c>
      <c r="B557" s="716" t="s">
        <v>3028</v>
      </c>
      <c r="C557" s="716" t="s">
        <v>3029</v>
      </c>
      <c r="D557" s="716" t="s">
        <v>3984</v>
      </c>
      <c r="E557" s="716" t="s">
        <v>3985</v>
      </c>
      <c r="F557" s="720"/>
      <c r="G557" s="720"/>
      <c r="H557" s="720"/>
      <c r="I557" s="720"/>
      <c r="J557" s="720">
        <v>1</v>
      </c>
      <c r="K557" s="720">
        <v>266</v>
      </c>
      <c r="L557" s="720">
        <v>1</v>
      </c>
      <c r="M557" s="720">
        <v>266</v>
      </c>
      <c r="N557" s="720"/>
      <c r="O557" s="720"/>
      <c r="P557" s="745"/>
      <c r="Q557" s="721"/>
    </row>
    <row r="558" spans="1:17" ht="14.45" customHeight="1" x14ac:dyDescent="0.2">
      <c r="A558" s="715" t="s">
        <v>518</v>
      </c>
      <c r="B558" s="716" t="s">
        <v>3028</v>
      </c>
      <c r="C558" s="716" t="s">
        <v>3029</v>
      </c>
      <c r="D558" s="716" t="s">
        <v>3986</v>
      </c>
      <c r="E558" s="716" t="s">
        <v>3987</v>
      </c>
      <c r="F558" s="720">
        <v>0</v>
      </c>
      <c r="G558" s="720">
        <v>0</v>
      </c>
      <c r="H558" s="720"/>
      <c r="I558" s="720"/>
      <c r="J558" s="720">
        <v>0</v>
      </c>
      <c r="K558" s="720">
        <v>0</v>
      </c>
      <c r="L558" s="720"/>
      <c r="M558" s="720"/>
      <c r="N558" s="720">
        <v>0</v>
      </c>
      <c r="O558" s="720">
        <v>0</v>
      </c>
      <c r="P558" s="745"/>
      <c r="Q558" s="721"/>
    </row>
    <row r="559" spans="1:17" ht="14.45" customHeight="1" x14ac:dyDescent="0.2">
      <c r="A559" s="715" t="s">
        <v>518</v>
      </c>
      <c r="B559" s="716" t="s">
        <v>3028</v>
      </c>
      <c r="C559" s="716" t="s">
        <v>3029</v>
      </c>
      <c r="D559" s="716" t="s">
        <v>3988</v>
      </c>
      <c r="E559" s="716" t="s">
        <v>3989</v>
      </c>
      <c r="F559" s="720">
        <v>1289</v>
      </c>
      <c r="G559" s="720">
        <v>0</v>
      </c>
      <c r="H559" s="720"/>
      <c r="I559" s="720">
        <v>0</v>
      </c>
      <c r="J559" s="720">
        <v>1523</v>
      </c>
      <c r="K559" s="720">
        <v>0</v>
      </c>
      <c r="L559" s="720"/>
      <c r="M559" s="720">
        <v>0</v>
      </c>
      <c r="N559" s="720">
        <v>1124</v>
      </c>
      <c r="O559" s="720">
        <v>0</v>
      </c>
      <c r="P559" s="745"/>
      <c r="Q559" s="721">
        <v>0</v>
      </c>
    </row>
    <row r="560" spans="1:17" ht="14.45" customHeight="1" x14ac:dyDescent="0.2">
      <c r="A560" s="715" t="s">
        <v>518</v>
      </c>
      <c r="B560" s="716" t="s">
        <v>3028</v>
      </c>
      <c r="C560" s="716" t="s">
        <v>3029</v>
      </c>
      <c r="D560" s="716" t="s">
        <v>3990</v>
      </c>
      <c r="E560" s="716" t="s">
        <v>3991</v>
      </c>
      <c r="F560" s="720">
        <v>250</v>
      </c>
      <c r="G560" s="720">
        <v>0</v>
      </c>
      <c r="H560" s="720"/>
      <c r="I560" s="720">
        <v>0</v>
      </c>
      <c r="J560" s="720">
        <v>271</v>
      </c>
      <c r="K560" s="720">
        <v>0</v>
      </c>
      <c r="L560" s="720"/>
      <c r="M560" s="720">
        <v>0</v>
      </c>
      <c r="N560" s="720">
        <v>19</v>
      </c>
      <c r="O560" s="720">
        <v>0</v>
      </c>
      <c r="P560" s="745"/>
      <c r="Q560" s="721">
        <v>0</v>
      </c>
    </row>
    <row r="561" spans="1:17" ht="14.45" customHeight="1" x14ac:dyDescent="0.2">
      <c r="A561" s="715" t="s">
        <v>518</v>
      </c>
      <c r="B561" s="716" t="s">
        <v>3028</v>
      </c>
      <c r="C561" s="716" t="s">
        <v>3029</v>
      </c>
      <c r="D561" s="716" t="s">
        <v>3992</v>
      </c>
      <c r="E561" s="716" t="s">
        <v>3031</v>
      </c>
      <c r="F561" s="720">
        <v>92</v>
      </c>
      <c r="G561" s="720">
        <v>0</v>
      </c>
      <c r="H561" s="720"/>
      <c r="I561" s="720">
        <v>0</v>
      </c>
      <c r="J561" s="720">
        <v>118</v>
      </c>
      <c r="K561" s="720">
        <v>0</v>
      </c>
      <c r="L561" s="720"/>
      <c r="M561" s="720">
        <v>0</v>
      </c>
      <c r="N561" s="720">
        <v>87</v>
      </c>
      <c r="O561" s="720">
        <v>0</v>
      </c>
      <c r="P561" s="745"/>
      <c r="Q561" s="721">
        <v>0</v>
      </c>
    </row>
    <row r="562" spans="1:17" ht="14.45" customHeight="1" x14ac:dyDescent="0.2">
      <c r="A562" s="715" t="s">
        <v>518</v>
      </c>
      <c r="B562" s="716" t="s">
        <v>3028</v>
      </c>
      <c r="C562" s="716" t="s">
        <v>3029</v>
      </c>
      <c r="D562" s="716" t="s">
        <v>3993</v>
      </c>
      <c r="E562" s="716" t="s">
        <v>3994</v>
      </c>
      <c r="F562" s="720">
        <v>16</v>
      </c>
      <c r="G562" s="720">
        <v>0</v>
      </c>
      <c r="H562" s="720"/>
      <c r="I562" s="720">
        <v>0</v>
      </c>
      <c r="J562" s="720">
        <v>7</v>
      </c>
      <c r="K562" s="720">
        <v>0</v>
      </c>
      <c r="L562" s="720"/>
      <c r="M562" s="720">
        <v>0</v>
      </c>
      <c r="N562" s="720">
        <v>28</v>
      </c>
      <c r="O562" s="720">
        <v>0</v>
      </c>
      <c r="P562" s="745"/>
      <c r="Q562" s="721">
        <v>0</v>
      </c>
    </row>
    <row r="563" spans="1:17" ht="14.45" customHeight="1" x14ac:dyDescent="0.2">
      <c r="A563" s="715" t="s">
        <v>518</v>
      </c>
      <c r="B563" s="716" t="s">
        <v>3028</v>
      </c>
      <c r="C563" s="716" t="s">
        <v>3029</v>
      </c>
      <c r="D563" s="716" t="s">
        <v>3995</v>
      </c>
      <c r="E563" s="716" t="s">
        <v>3031</v>
      </c>
      <c r="F563" s="720">
        <v>1</v>
      </c>
      <c r="G563" s="720">
        <v>0</v>
      </c>
      <c r="H563" s="720"/>
      <c r="I563" s="720">
        <v>0</v>
      </c>
      <c r="J563" s="720"/>
      <c r="K563" s="720"/>
      <c r="L563" s="720"/>
      <c r="M563" s="720"/>
      <c r="N563" s="720"/>
      <c r="O563" s="720"/>
      <c r="P563" s="745"/>
      <c r="Q563" s="721"/>
    </row>
    <row r="564" spans="1:17" ht="14.45" customHeight="1" x14ac:dyDescent="0.2">
      <c r="A564" s="715" t="s">
        <v>518</v>
      </c>
      <c r="B564" s="716" t="s">
        <v>3028</v>
      </c>
      <c r="C564" s="716" t="s">
        <v>3029</v>
      </c>
      <c r="D564" s="716" t="s">
        <v>3996</v>
      </c>
      <c r="E564" s="716" t="s">
        <v>3997</v>
      </c>
      <c r="F564" s="720">
        <v>1</v>
      </c>
      <c r="G564" s="720">
        <v>0</v>
      </c>
      <c r="H564" s="720"/>
      <c r="I564" s="720">
        <v>0</v>
      </c>
      <c r="J564" s="720"/>
      <c r="K564" s="720"/>
      <c r="L564" s="720"/>
      <c r="M564" s="720"/>
      <c r="N564" s="720"/>
      <c r="O564" s="720"/>
      <c r="P564" s="745"/>
      <c r="Q564" s="721"/>
    </row>
    <row r="565" spans="1:17" ht="14.45" customHeight="1" x14ac:dyDescent="0.2">
      <c r="A565" s="715" t="s">
        <v>518</v>
      </c>
      <c r="B565" s="716" t="s">
        <v>3028</v>
      </c>
      <c r="C565" s="716" t="s">
        <v>3029</v>
      </c>
      <c r="D565" s="716" t="s">
        <v>3998</v>
      </c>
      <c r="E565" s="716" t="s">
        <v>3999</v>
      </c>
      <c r="F565" s="720"/>
      <c r="G565" s="720"/>
      <c r="H565" s="720"/>
      <c r="I565" s="720"/>
      <c r="J565" s="720"/>
      <c r="K565" s="720"/>
      <c r="L565" s="720"/>
      <c r="M565" s="720"/>
      <c r="N565" s="720">
        <v>1</v>
      </c>
      <c r="O565" s="720">
        <v>87</v>
      </c>
      <c r="P565" s="745"/>
      <c r="Q565" s="721">
        <v>87</v>
      </c>
    </row>
    <row r="566" spans="1:17" ht="14.45" customHeight="1" x14ac:dyDescent="0.2">
      <c r="A566" s="715" t="s">
        <v>518</v>
      </c>
      <c r="B566" s="716" t="s">
        <v>3028</v>
      </c>
      <c r="C566" s="716" t="s">
        <v>3029</v>
      </c>
      <c r="D566" s="716" t="s">
        <v>4000</v>
      </c>
      <c r="E566" s="716" t="s">
        <v>3031</v>
      </c>
      <c r="F566" s="720">
        <v>52</v>
      </c>
      <c r="G566" s="720">
        <v>0</v>
      </c>
      <c r="H566" s="720"/>
      <c r="I566" s="720">
        <v>0</v>
      </c>
      <c r="J566" s="720">
        <v>53</v>
      </c>
      <c r="K566" s="720">
        <v>0</v>
      </c>
      <c r="L566" s="720"/>
      <c r="M566" s="720">
        <v>0</v>
      </c>
      <c r="N566" s="720">
        <v>42</v>
      </c>
      <c r="O566" s="720">
        <v>0</v>
      </c>
      <c r="P566" s="745"/>
      <c r="Q566" s="721">
        <v>0</v>
      </c>
    </row>
    <row r="567" spans="1:17" ht="14.45" customHeight="1" x14ac:dyDescent="0.2">
      <c r="A567" s="715" t="s">
        <v>518</v>
      </c>
      <c r="B567" s="716" t="s">
        <v>3028</v>
      </c>
      <c r="C567" s="716" t="s">
        <v>3029</v>
      </c>
      <c r="D567" s="716" t="s">
        <v>4001</v>
      </c>
      <c r="E567" s="716" t="s">
        <v>4002</v>
      </c>
      <c r="F567" s="720"/>
      <c r="G567" s="720"/>
      <c r="H567" s="720"/>
      <c r="I567" s="720"/>
      <c r="J567" s="720"/>
      <c r="K567" s="720"/>
      <c r="L567" s="720"/>
      <c r="M567" s="720"/>
      <c r="N567" s="720">
        <v>3</v>
      </c>
      <c r="O567" s="720">
        <v>342</v>
      </c>
      <c r="P567" s="745"/>
      <c r="Q567" s="721">
        <v>114</v>
      </c>
    </row>
    <row r="568" spans="1:17" ht="14.45" customHeight="1" x14ac:dyDescent="0.2">
      <c r="A568" s="715" t="s">
        <v>518</v>
      </c>
      <c r="B568" s="716" t="s">
        <v>3028</v>
      </c>
      <c r="C568" s="716" t="s">
        <v>3029</v>
      </c>
      <c r="D568" s="716" t="s">
        <v>4003</v>
      </c>
      <c r="E568" s="716" t="s">
        <v>4004</v>
      </c>
      <c r="F568" s="720">
        <v>46</v>
      </c>
      <c r="G568" s="720">
        <v>251896</v>
      </c>
      <c r="H568" s="720">
        <v>1.5333333333333334</v>
      </c>
      <c r="I568" s="720">
        <v>5476</v>
      </c>
      <c r="J568" s="720">
        <v>30</v>
      </c>
      <c r="K568" s="720">
        <v>164280</v>
      </c>
      <c r="L568" s="720">
        <v>1</v>
      </c>
      <c r="M568" s="720">
        <v>5476</v>
      </c>
      <c r="N568" s="720">
        <v>32</v>
      </c>
      <c r="O568" s="720">
        <v>175432</v>
      </c>
      <c r="P568" s="745">
        <v>1.0678841003165327</v>
      </c>
      <c r="Q568" s="721">
        <v>5482.25</v>
      </c>
    </row>
    <row r="569" spans="1:17" ht="14.45" customHeight="1" x14ac:dyDescent="0.2">
      <c r="A569" s="715" t="s">
        <v>518</v>
      </c>
      <c r="B569" s="716" t="s">
        <v>3028</v>
      </c>
      <c r="C569" s="716" t="s">
        <v>3029</v>
      </c>
      <c r="D569" s="716" t="s">
        <v>4005</v>
      </c>
      <c r="E569" s="716" t="s">
        <v>4006</v>
      </c>
      <c r="F569" s="720">
        <v>1</v>
      </c>
      <c r="G569" s="720">
        <v>0</v>
      </c>
      <c r="H569" s="720"/>
      <c r="I569" s="720">
        <v>0</v>
      </c>
      <c r="J569" s="720">
        <v>13</v>
      </c>
      <c r="K569" s="720">
        <v>0</v>
      </c>
      <c r="L569" s="720"/>
      <c r="M569" s="720">
        <v>0</v>
      </c>
      <c r="N569" s="720">
        <v>2</v>
      </c>
      <c r="O569" s="720">
        <v>0</v>
      </c>
      <c r="P569" s="745"/>
      <c r="Q569" s="721">
        <v>0</v>
      </c>
    </row>
    <row r="570" spans="1:17" ht="14.45" customHeight="1" x14ac:dyDescent="0.2">
      <c r="A570" s="715" t="s">
        <v>518</v>
      </c>
      <c r="B570" s="716" t="s">
        <v>3028</v>
      </c>
      <c r="C570" s="716" t="s">
        <v>3029</v>
      </c>
      <c r="D570" s="716" t="s">
        <v>4007</v>
      </c>
      <c r="E570" s="716" t="s">
        <v>4008</v>
      </c>
      <c r="F570" s="720">
        <v>139</v>
      </c>
      <c r="G570" s="720">
        <v>3331274</v>
      </c>
      <c r="H570" s="720">
        <v>0.67149758454106279</v>
      </c>
      <c r="I570" s="720">
        <v>23966</v>
      </c>
      <c r="J570" s="720">
        <v>207</v>
      </c>
      <c r="K570" s="720">
        <v>4960962</v>
      </c>
      <c r="L570" s="720">
        <v>1</v>
      </c>
      <c r="M570" s="720">
        <v>23966</v>
      </c>
      <c r="N570" s="720">
        <v>167</v>
      </c>
      <c r="O570" s="720">
        <v>4003532</v>
      </c>
      <c r="P570" s="745">
        <v>0.80700718933142401</v>
      </c>
      <c r="Q570" s="721">
        <v>23973.245508982036</v>
      </c>
    </row>
    <row r="571" spans="1:17" ht="14.45" customHeight="1" x14ac:dyDescent="0.2">
      <c r="A571" s="715" t="s">
        <v>518</v>
      </c>
      <c r="B571" s="716" t="s">
        <v>3028</v>
      </c>
      <c r="C571" s="716" t="s">
        <v>3029</v>
      </c>
      <c r="D571" s="716" t="s">
        <v>4009</v>
      </c>
      <c r="E571" s="716" t="s">
        <v>4010</v>
      </c>
      <c r="F571" s="720">
        <v>342</v>
      </c>
      <c r="G571" s="720">
        <v>2283192</v>
      </c>
      <c r="H571" s="720">
        <v>1.0490797546012269</v>
      </c>
      <c r="I571" s="720">
        <v>6676</v>
      </c>
      <c r="J571" s="720">
        <v>326</v>
      </c>
      <c r="K571" s="720">
        <v>2176376</v>
      </c>
      <c r="L571" s="720">
        <v>1</v>
      </c>
      <c r="M571" s="720">
        <v>6676</v>
      </c>
      <c r="N571" s="720">
        <v>346</v>
      </c>
      <c r="O571" s="720">
        <v>2311957</v>
      </c>
      <c r="P571" s="745">
        <v>1.0622966803530272</v>
      </c>
      <c r="Q571" s="721">
        <v>6681.9566473988443</v>
      </c>
    </row>
    <row r="572" spans="1:17" ht="14.45" customHeight="1" x14ac:dyDescent="0.2">
      <c r="A572" s="715" t="s">
        <v>518</v>
      </c>
      <c r="B572" s="716" t="s">
        <v>3028</v>
      </c>
      <c r="C572" s="716" t="s">
        <v>3029</v>
      </c>
      <c r="D572" s="716" t="s">
        <v>4011</v>
      </c>
      <c r="E572" s="716" t="s">
        <v>4012</v>
      </c>
      <c r="F572" s="720"/>
      <c r="G572" s="720"/>
      <c r="H572" s="720"/>
      <c r="I572" s="720"/>
      <c r="J572" s="720"/>
      <c r="K572" s="720"/>
      <c r="L572" s="720"/>
      <c r="M572" s="720"/>
      <c r="N572" s="720">
        <v>1</v>
      </c>
      <c r="O572" s="720">
        <v>870</v>
      </c>
      <c r="P572" s="745"/>
      <c r="Q572" s="721">
        <v>870</v>
      </c>
    </row>
    <row r="573" spans="1:17" ht="14.45" customHeight="1" x14ac:dyDescent="0.2">
      <c r="A573" s="715" t="s">
        <v>518</v>
      </c>
      <c r="B573" s="716" t="s">
        <v>3028</v>
      </c>
      <c r="C573" s="716" t="s">
        <v>3029</v>
      </c>
      <c r="D573" s="716" t="s">
        <v>4013</v>
      </c>
      <c r="E573" s="716" t="s">
        <v>4014</v>
      </c>
      <c r="F573" s="720"/>
      <c r="G573" s="720"/>
      <c r="H573" s="720"/>
      <c r="I573" s="720"/>
      <c r="J573" s="720"/>
      <c r="K573" s="720"/>
      <c r="L573" s="720"/>
      <c r="M573" s="720"/>
      <c r="N573" s="720">
        <v>1</v>
      </c>
      <c r="O573" s="720">
        <v>595</v>
      </c>
      <c r="P573" s="745"/>
      <c r="Q573" s="721">
        <v>595</v>
      </c>
    </row>
    <row r="574" spans="1:17" ht="14.45" customHeight="1" x14ac:dyDescent="0.2">
      <c r="A574" s="715" t="s">
        <v>518</v>
      </c>
      <c r="B574" s="716" t="s">
        <v>3028</v>
      </c>
      <c r="C574" s="716" t="s">
        <v>3029</v>
      </c>
      <c r="D574" s="716" t="s">
        <v>3143</v>
      </c>
      <c r="E574" s="716" t="s">
        <v>3144</v>
      </c>
      <c r="F574" s="720"/>
      <c r="G574" s="720"/>
      <c r="H574" s="720"/>
      <c r="I574" s="720"/>
      <c r="J574" s="720"/>
      <c r="K574" s="720"/>
      <c r="L574" s="720"/>
      <c r="M574" s="720"/>
      <c r="N574" s="720">
        <v>1</v>
      </c>
      <c r="O574" s="720">
        <v>448</v>
      </c>
      <c r="P574" s="745"/>
      <c r="Q574" s="721">
        <v>448</v>
      </c>
    </row>
    <row r="575" spans="1:17" ht="14.45" customHeight="1" x14ac:dyDescent="0.2">
      <c r="A575" s="715" t="s">
        <v>518</v>
      </c>
      <c r="B575" s="716" t="s">
        <v>3028</v>
      </c>
      <c r="C575" s="716" t="s">
        <v>3029</v>
      </c>
      <c r="D575" s="716" t="s">
        <v>3030</v>
      </c>
      <c r="E575" s="716" t="s">
        <v>3031</v>
      </c>
      <c r="F575" s="720">
        <v>14</v>
      </c>
      <c r="G575" s="720">
        <v>0</v>
      </c>
      <c r="H575" s="720"/>
      <c r="I575" s="720">
        <v>0</v>
      </c>
      <c r="J575" s="720">
        <v>15</v>
      </c>
      <c r="K575" s="720">
        <v>0</v>
      </c>
      <c r="L575" s="720"/>
      <c r="M575" s="720">
        <v>0</v>
      </c>
      <c r="N575" s="720">
        <v>12</v>
      </c>
      <c r="O575" s="720">
        <v>0</v>
      </c>
      <c r="P575" s="745"/>
      <c r="Q575" s="721">
        <v>0</v>
      </c>
    </row>
    <row r="576" spans="1:17" ht="14.45" customHeight="1" x14ac:dyDescent="0.2">
      <c r="A576" s="715" t="s">
        <v>518</v>
      </c>
      <c r="B576" s="716" t="s">
        <v>3028</v>
      </c>
      <c r="C576" s="716" t="s">
        <v>3029</v>
      </c>
      <c r="D576" s="716" t="s">
        <v>4015</v>
      </c>
      <c r="E576" s="716" t="s">
        <v>4016</v>
      </c>
      <c r="F576" s="720"/>
      <c r="G576" s="720"/>
      <c r="H576" s="720"/>
      <c r="I576" s="720"/>
      <c r="J576" s="720"/>
      <c r="K576" s="720"/>
      <c r="L576" s="720"/>
      <c r="M576" s="720"/>
      <c r="N576" s="720">
        <v>1</v>
      </c>
      <c r="O576" s="720">
        <v>1069</v>
      </c>
      <c r="P576" s="745"/>
      <c r="Q576" s="721">
        <v>1069</v>
      </c>
    </row>
    <row r="577" spans="1:17" ht="14.45" customHeight="1" x14ac:dyDescent="0.2">
      <c r="A577" s="715" t="s">
        <v>518</v>
      </c>
      <c r="B577" s="716" t="s">
        <v>3028</v>
      </c>
      <c r="C577" s="716" t="s">
        <v>3029</v>
      </c>
      <c r="D577" s="716" t="s">
        <v>3145</v>
      </c>
      <c r="E577" s="716" t="s">
        <v>3146</v>
      </c>
      <c r="F577" s="720"/>
      <c r="G577" s="720"/>
      <c r="H577" s="720"/>
      <c r="I577" s="720"/>
      <c r="J577" s="720"/>
      <c r="K577" s="720"/>
      <c r="L577" s="720"/>
      <c r="M577" s="720"/>
      <c r="N577" s="720">
        <v>1</v>
      </c>
      <c r="O577" s="720">
        <v>871</v>
      </c>
      <c r="P577" s="745"/>
      <c r="Q577" s="721">
        <v>871</v>
      </c>
    </row>
    <row r="578" spans="1:17" ht="14.45" customHeight="1" x14ac:dyDescent="0.2">
      <c r="A578" s="715" t="s">
        <v>518</v>
      </c>
      <c r="B578" s="716" t="s">
        <v>3028</v>
      </c>
      <c r="C578" s="716" t="s">
        <v>3029</v>
      </c>
      <c r="D578" s="716" t="s">
        <v>4017</v>
      </c>
      <c r="E578" s="716" t="s">
        <v>4018</v>
      </c>
      <c r="F578" s="720"/>
      <c r="G578" s="720"/>
      <c r="H578" s="720"/>
      <c r="I578" s="720"/>
      <c r="J578" s="720"/>
      <c r="K578" s="720"/>
      <c r="L578" s="720"/>
      <c r="M578" s="720"/>
      <c r="N578" s="720">
        <v>1</v>
      </c>
      <c r="O578" s="720">
        <v>6169</v>
      </c>
      <c r="P578" s="745"/>
      <c r="Q578" s="721">
        <v>6169</v>
      </c>
    </row>
    <row r="579" spans="1:17" ht="14.45" customHeight="1" x14ac:dyDescent="0.2">
      <c r="A579" s="715" t="s">
        <v>518</v>
      </c>
      <c r="B579" s="716" t="s">
        <v>3028</v>
      </c>
      <c r="C579" s="716" t="s">
        <v>3029</v>
      </c>
      <c r="D579" s="716" t="s">
        <v>4019</v>
      </c>
      <c r="E579" s="716" t="s">
        <v>4020</v>
      </c>
      <c r="F579" s="720">
        <v>89</v>
      </c>
      <c r="G579" s="720">
        <v>2488974</v>
      </c>
      <c r="H579" s="720">
        <v>0.88118811881188119</v>
      </c>
      <c r="I579" s="720">
        <v>27966</v>
      </c>
      <c r="J579" s="720">
        <v>101</v>
      </c>
      <c r="K579" s="720">
        <v>2824566</v>
      </c>
      <c r="L579" s="720">
        <v>1</v>
      </c>
      <c r="M579" s="720">
        <v>27966</v>
      </c>
      <c r="N579" s="720">
        <v>40</v>
      </c>
      <c r="O579" s="720">
        <v>1118928</v>
      </c>
      <c r="P579" s="745">
        <v>0.39614156652738863</v>
      </c>
      <c r="Q579" s="721">
        <v>27973.200000000001</v>
      </c>
    </row>
    <row r="580" spans="1:17" ht="14.45" customHeight="1" x14ac:dyDescent="0.2">
      <c r="A580" s="715" t="s">
        <v>518</v>
      </c>
      <c r="B580" s="716" t="s">
        <v>3028</v>
      </c>
      <c r="C580" s="716" t="s">
        <v>3029</v>
      </c>
      <c r="D580" s="716" t="s">
        <v>4021</v>
      </c>
      <c r="E580" s="716" t="s">
        <v>4022</v>
      </c>
      <c r="F580" s="720">
        <v>657</v>
      </c>
      <c r="G580" s="720">
        <v>245059</v>
      </c>
      <c r="H580" s="720">
        <v>1.0848406774859005</v>
      </c>
      <c r="I580" s="720">
        <v>372.99695585996955</v>
      </c>
      <c r="J580" s="720">
        <v>604</v>
      </c>
      <c r="K580" s="720">
        <v>225894</v>
      </c>
      <c r="L580" s="720">
        <v>1</v>
      </c>
      <c r="M580" s="720">
        <v>373.99668874172187</v>
      </c>
      <c r="N580" s="720">
        <v>648</v>
      </c>
      <c r="O580" s="720">
        <v>243646</v>
      </c>
      <c r="P580" s="745">
        <v>1.0785855312668773</v>
      </c>
      <c r="Q580" s="721">
        <v>375.99691358024694</v>
      </c>
    </row>
    <row r="581" spans="1:17" ht="14.45" customHeight="1" x14ac:dyDescent="0.2">
      <c r="A581" s="715" t="s">
        <v>518</v>
      </c>
      <c r="B581" s="716" t="s">
        <v>3028</v>
      </c>
      <c r="C581" s="716" t="s">
        <v>3029</v>
      </c>
      <c r="D581" s="716" t="s">
        <v>3155</v>
      </c>
      <c r="E581" s="716" t="s">
        <v>3156</v>
      </c>
      <c r="F581" s="720"/>
      <c r="G581" s="720"/>
      <c r="H581" s="720"/>
      <c r="I581" s="720"/>
      <c r="J581" s="720"/>
      <c r="K581" s="720"/>
      <c r="L581" s="720"/>
      <c r="M581" s="720"/>
      <c r="N581" s="720">
        <v>1</v>
      </c>
      <c r="O581" s="720">
        <v>376</v>
      </c>
      <c r="P581" s="745"/>
      <c r="Q581" s="721">
        <v>376</v>
      </c>
    </row>
    <row r="582" spans="1:17" ht="14.45" customHeight="1" x14ac:dyDescent="0.2">
      <c r="A582" s="715" t="s">
        <v>518</v>
      </c>
      <c r="B582" s="716" t="s">
        <v>3028</v>
      </c>
      <c r="C582" s="716" t="s">
        <v>3029</v>
      </c>
      <c r="D582" s="716" t="s">
        <v>4023</v>
      </c>
      <c r="E582" s="716" t="s">
        <v>4024</v>
      </c>
      <c r="F582" s="720"/>
      <c r="G582" s="720"/>
      <c r="H582" s="720"/>
      <c r="I582" s="720"/>
      <c r="J582" s="720"/>
      <c r="K582" s="720"/>
      <c r="L582" s="720"/>
      <c r="M582" s="720"/>
      <c r="N582" s="720">
        <v>1</v>
      </c>
      <c r="O582" s="720">
        <v>1550</v>
      </c>
      <c r="P582" s="745"/>
      <c r="Q582" s="721">
        <v>1550</v>
      </c>
    </row>
    <row r="583" spans="1:17" ht="14.45" customHeight="1" x14ac:dyDescent="0.2">
      <c r="A583" s="715" t="s">
        <v>518</v>
      </c>
      <c r="B583" s="716" t="s">
        <v>3028</v>
      </c>
      <c r="C583" s="716" t="s">
        <v>3029</v>
      </c>
      <c r="D583" s="716" t="s">
        <v>4025</v>
      </c>
      <c r="E583" s="716" t="s">
        <v>4026</v>
      </c>
      <c r="F583" s="720"/>
      <c r="G583" s="720"/>
      <c r="H583" s="720"/>
      <c r="I583" s="720"/>
      <c r="J583" s="720"/>
      <c r="K583" s="720"/>
      <c r="L583" s="720"/>
      <c r="M583" s="720"/>
      <c r="N583" s="720">
        <v>2</v>
      </c>
      <c r="O583" s="720">
        <v>88</v>
      </c>
      <c r="P583" s="745"/>
      <c r="Q583" s="721">
        <v>44</v>
      </c>
    </row>
    <row r="584" spans="1:17" ht="14.45" customHeight="1" x14ac:dyDescent="0.2">
      <c r="A584" s="715" t="s">
        <v>518</v>
      </c>
      <c r="B584" s="716" t="s">
        <v>3028</v>
      </c>
      <c r="C584" s="716" t="s">
        <v>3029</v>
      </c>
      <c r="D584" s="716" t="s">
        <v>4027</v>
      </c>
      <c r="E584" s="716" t="s">
        <v>4028</v>
      </c>
      <c r="F584" s="720"/>
      <c r="G584" s="720"/>
      <c r="H584" s="720"/>
      <c r="I584" s="720"/>
      <c r="J584" s="720"/>
      <c r="K584" s="720"/>
      <c r="L584" s="720"/>
      <c r="M584" s="720"/>
      <c r="N584" s="720">
        <v>1</v>
      </c>
      <c r="O584" s="720">
        <v>1518</v>
      </c>
      <c r="P584" s="745"/>
      <c r="Q584" s="721">
        <v>1518</v>
      </c>
    </row>
    <row r="585" spans="1:17" ht="14.45" customHeight="1" x14ac:dyDescent="0.2">
      <c r="A585" s="715" t="s">
        <v>518</v>
      </c>
      <c r="B585" s="716" t="s">
        <v>3028</v>
      </c>
      <c r="C585" s="716" t="s">
        <v>3029</v>
      </c>
      <c r="D585" s="716" t="s">
        <v>4029</v>
      </c>
      <c r="E585" s="716" t="s">
        <v>4030</v>
      </c>
      <c r="F585" s="720"/>
      <c r="G585" s="720"/>
      <c r="H585" s="720"/>
      <c r="I585" s="720"/>
      <c r="J585" s="720"/>
      <c r="K585" s="720"/>
      <c r="L585" s="720"/>
      <c r="M585" s="720"/>
      <c r="N585" s="720">
        <v>2</v>
      </c>
      <c r="O585" s="720">
        <v>624</v>
      </c>
      <c r="P585" s="745"/>
      <c r="Q585" s="721">
        <v>312</v>
      </c>
    </row>
    <row r="586" spans="1:17" ht="14.45" customHeight="1" x14ac:dyDescent="0.2">
      <c r="A586" s="715" t="s">
        <v>518</v>
      </c>
      <c r="B586" s="716" t="s">
        <v>3028</v>
      </c>
      <c r="C586" s="716" t="s">
        <v>3029</v>
      </c>
      <c r="D586" s="716" t="s">
        <v>4031</v>
      </c>
      <c r="E586" s="716" t="s">
        <v>4032</v>
      </c>
      <c r="F586" s="720"/>
      <c r="G586" s="720"/>
      <c r="H586" s="720"/>
      <c r="I586" s="720"/>
      <c r="J586" s="720"/>
      <c r="K586" s="720"/>
      <c r="L586" s="720"/>
      <c r="M586" s="720"/>
      <c r="N586" s="720">
        <v>1</v>
      </c>
      <c r="O586" s="720">
        <v>364</v>
      </c>
      <c r="P586" s="745"/>
      <c r="Q586" s="721">
        <v>364</v>
      </c>
    </row>
    <row r="587" spans="1:17" ht="14.45" customHeight="1" x14ac:dyDescent="0.2">
      <c r="A587" s="715" t="s">
        <v>518</v>
      </c>
      <c r="B587" s="716" t="s">
        <v>3028</v>
      </c>
      <c r="C587" s="716" t="s">
        <v>3029</v>
      </c>
      <c r="D587" s="716" t="s">
        <v>4033</v>
      </c>
      <c r="E587" s="716" t="s">
        <v>4034</v>
      </c>
      <c r="F587" s="720"/>
      <c r="G587" s="720"/>
      <c r="H587" s="720"/>
      <c r="I587" s="720"/>
      <c r="J587" s="720"/>
      <c r="K587" s="720"/>
      <c r="L587" s="720"/>
      <c r="M587" s="720"/>
      <c r="N587" s="720">
        <v>2</v>
      </c>
      <c r="O587" s="720">
        <v>3704</v>
      </c>
      <c r="P587" s="745"/>
      <c r="Q587" s="721">
        <v>1852</v>
      </c>
    </row>
    <row r="588" spans="1:17" ht="14.45" customHeight="1" x14ac:dyDescent="0.2">
      <c r="A588" s="715" t="s">
        <v>518</v>
      </c>
      <c r="B588" s="716" t="s">
        <v>3028</v>
      </c>
      <c r="C588" s="716" t="s">
        <v>3029</v>
      </c>
      <c r="D588" s="716" t="s">
        <v>4035</v>
      </c>
      <c r="E588" s="716" t="s">
        <v>4036</v>
      </c>
      <c r="F588" s="720">
        <v>15</v>
      </c>
      <c r="G588" s="720">
        <v>0</v>
      </c>
      <c r="H588" s="720"/>
      <c r="I588" s="720">
        <v>0</v>
      </c>
      <c r="J588" s="720">
        <v>18</v>
      </c>
      <c r="K588" s="720">
        <v>0</v>
      </c>
      <c r="L588" s="720"/>
      <c r="M588" s="720">
        <v>0</v>
      </c>
      <c r="N588" s="720">
        <v>16</v>
      </c>
      <c r="O588" s="720">
        <v>0</v>
      </c>
      <c r="P588" s="745"/>
      <c r="Q588" s="721">
        <v>0</v>
      </c>
    </row>
    <row r="589" spans="1:17" ht="14.45" customHeight="1" x14ac:dyDescent="0.2">
      <c r="A589" s="715" t="s">
        <v>518</v>
      </c>
      <c r="B589" s="716" t="s">
        <v>3028</v>
      </c>
      <c r="C589" s="716" t="s">
        <v>3029</v>
      </c>
      <c r="D589" s="716" t="s">
        <v>4037</v>
      </c>
      <c r="E589" s="716" t="s">
        <v>4038</v>
      </c>
      <c r="F589" s="720"/>
      <c r="G589" s="720"/>
      <c r="H589" s="720"/>
      <c r="I589" s="720"/>
      <c r="J589" s="720"/>
      <c r="K589" s="720"/>
      <c r="L589" s="720"/>
      <c r="M589" s="720"/>
      <c r="N589" s="720">
        <v>3</v>
      </c>
      <c r="O589" s="720">
        <v>7788</v>
      </c>
      <c r="P589" s="745"/>
      <c r="Q589" s="721">
        <v>2596</v>
      </c>
    </row>
    <row r="590" spans="1:17" ht="14.45" customHeight="1" x14ac:dyDescent="0.2">
      <c r="A590" s="715" t="s">
        <v>518</v>
      </c>
      <c r="B590" s="716" t="s">
        <v>3028</v>
      </c>
      <c r="C590" s="716" t="s">
        <v>3029</v>
      </c>
      <c r="D590" s="716" t="s">
        <v>4039</v>
      </c>
      <c r="E590" s="716" t="s">
        <v>4040</v>
      </c>
      <c r="F590" s="720"/>
      <c r="G590" s="720"/>
      <c r="H590" s="720"/>
      <c r="I590" s="720"/>
      <c r="J590" s="720">
        <v>1</v>
      </c>
      <c r="K590" s="720">
        <v>625</v>
      </c>
      <c r="L590" s="720">
        <v>1</v>
      </c>
      <c r="M590" s="720">
        <v>625</v>
      </c>
      <c r="N590" s="720"/>
      <c r="O590" s="720"/>
      <c r="P590" s="745"/>
      <c r="Q590" s="721"/>
    </row>
    <row r="591" spans="1:17" ht="14.45" customHeight="1" x14ac:dyDescent="0.2">
      <c r="A591" s="715" t="s">
        <v>518</v>
      </c>
      <c r="B591" s="716" t="s">
        <v>3028</v>
      </c>
      <c r="C591" s="716" t="s">
        <v>3029</v>
      </c>
      <c r="D591" s="716" t="s">
        <v>4041</v>
      </c>
      <c r="E591" s="716" t="s">
        <v>4042</v>
      </c>
      <c r="F591" s="720"/>
      <c r="G591" s="720"/>
      <c r="H591" s="720"/>
      <c r="I591" s="720"/>
      <c r="J591" s="720"/>
      <c r="K591" s="720"/>
      <c r="L591" s="720"/>
      <c r="M591" s="720"/>
      <c r="N591" s="720">
        <v>2</v>
      </c>
      <c r="O591" s="720">
        <v>630</v>
      </c>
      <c r="P591" s="745"/>
      <c r="Q591" s="721">
        <v>315</v>
      </c>
    </row>
    <row r="592" spans="1:17" ht="14.45" customHeight="1" x14ac:dyDescent="0.2">
      <c r="A592" s="715" t="s">
        <v>518</v>
      </c>
      <c r="B592" s="716" t="s">
        <v>3028</v>
      </c>
      <c r="C592" s="716" t="s">
        <v>3029</v>
      </c>
      <c r="D592" s="716" t="s">
        <v>4043</v>
      </c>
      <c r="E592" s="716" t="s">
        <v>4044</v>
      </c>
      <c r="F592" s="720"/>
      <c r="G592" s="720"/>
      <c r="H592" s="720"/>
      <c r="I592" s="720"/>
      <c r="J592" s="720"/>
      <c r="K592" s="720"/>
      <c r="L592" s="720"/>
      <c r="M592" s="720"/>
      <c r="N592" s="720">
        <v>1</v>
      </c>
      <c r="O592" s="720">
        <v>4494</v>
      </c>
      <c r="P592" s="745"/>
      <c r="Q592" s="721">
        <v>4494</v>
      </c>
    </row>
    <row r="593" spans="1:17" ht="14.45" customHeight="1" x14ac:dyDescent="0.2">
      <c r="A593" s="715" t="s">
        <v>518</v>
      </c>
      <c r="B593" s="716" t="s">
        <v>3028</v>
      </c>
      <c r="C593" s="716" t="s">
        <v>3029</v>
      </c>
      <c r="D593" s="716" t="s">
        <v>3356</v>
      </c>
      <c r="E593" s="716" t="s">
        <v>3357</v>
      </c>
      <c r="F593" s="720"/>
      <c r="G593" s="720"/>
      <c r="H593" s="720"/>
      <c r="I593" s="720"/>
      <c r="J593" s="720"/>
      <c r="K593" s="720"/>
      <c r="L593" s="720"/>
      <c r="M593" s="720"/>
      <c r="N593" s="720">
        <v>1</v>
      </c>
      <c r="O593" s="720">
        <v>1584</v>
      </c>
      <c r="P593" s="745"/>
      <c r="Q593" s="721">
        <v>1584</v>
      </c>
    </row>
    <row r="594" spans="1:17" ht="14.45" customHeight="1" x14ac:dyDescent="0.2">
      <c r="A594" s="715" t="s">
        <v>518</v>
      </c>
      <c r="B594" s="716" t="s">
        <v>3028</v>
      </c>
      <c r="C594" s="716" t="s">
        <v>3029</v>
      </c>
      <c r="D594" s="716" t="s">
        <v>4045</v>
      </c>
      <c r="E594" s="716" t="s">
        <v>4046</v>
      </c>
      <c r="F594" s="720"/>
      <c r="G594" s="720"/>
      <c r="H594" s="720"/>
      <c r="I594" s="720"/>
      <c r="J594" s="720"/>
      <c r="K594" s="720"/>
      <c r="L594" s="720"/>
      <c r="M594" s="720"/>
      <c r="N594" s="720">
        <v>1</v>
      </c>
      <c r="O594" s="720">
        <v>1570</v>
      </c>
      <c r="P594" s="745"/>
      <c r="Q594" s="721">
        <v>1570</v>
      </c>
    </row>
    <row r="595" spans="1:17" ht="14.45" customHeight="1" x14ac:dyDescent="0.2">
      <c r="A595" s="715" t="s">
        <v>518</v>
      </c>
      <c r="B595" s="716" t="s">
        <v>3028</v>
      </c>
      <c r="C595" s="716" t="s">
        <v>3029</v>
      </c>
      <c r="D595" s="716" t="s">
        <v>4047</v>
      </c>
      <c r="E595" s="716" t="s">
        <v>4048</v>
      </c>
      <c r="F595" s="720">
        <v>1</v>
      </c>
      <c r="G595" s="720">
        <v>1931</v>
      </c>
      <c r="H595" s="720"/>
      <c r="I595" s="720">
        <v>1931</v>
      </c>
      <c r="J595" s="720"/>
      <c r="K595" s="720"/>
      <c r="L595" s="720"/>
      <c r="M595" s="720"/>
      <c r="N595" s="720"/>
      <c r="O595" s="720"/>
      <c r="P595" s="745"/>
      <c r="Q595" s="721"/>
    </row>
    <row r="596" spans="1:17" ht="14.45" customHeight="1" x14ac:dyDescent="0.2">
      <c r="A596" s="715" t="s">
        <v>518</v>
      </c>
      <c r="B596" s="716" t="s">
        <v>3028</v>
      </c>
      <c r="C596" s="716" t="s">
        <v>3029</v>
      </c>
      <c r="D596" s="716" t="s">
        <v>4049</v>
      </c>
      <c r="E596" s="716" t="s">
        <v>3031</v>
      </c>
      <c r="F596" s="720">
        <v>4</v>
      </c>
      <c r="G596" s="720">
        <v>0</v>
      </c>
      <c r="H596" s="720"/>
      <c r="I596" s="720">
        <v>0</v>
      </c>
      <c r="J596" s="720">
        <v>5</v>
      </c>
      <c r="K596" s="720">
        <v>0</v>
      </c>
      <c r="L596" s="720"/>
      <c r="M596" s="720">
        <v>0</v>
      </c>
      <c r="N596" s="720">
        <v>2</v>
      </c>
      <c r="O596" s="720">
        <v>0</v>
      </c>
      <c r="P596" s="745"/>
      <c r="Q596" s="721">
        <v>0</v>
      </c>
    </row>
    <row r="597" spans="1:17" ht="14.45" customHeight="1" x14ac:dyDescent="0.2">
      <c r="A597" s="715" t="s">
        <v>518</v>
      </c>
      <c r="B597" s="716" t="s">
        <v>3028</v>
      </c>
      <c r="C597" s="716" t="s">
        <v>3029</v>
      </c>
      <c r="D597" s="716" t="s">
        <v>4050</v>
      </c>
      <c r="E597" s="716" t="s">
        <v>4051</v>
      </c>
      <c r="F597" s="720"/>
      <c r="G597" s="720"/>
      <c r="H597" s="720"/>
      <c r="I597" s="720"/>
      <c r="J597" s="720"/>
      <c r="K597" s="720"/>
      <c r="L597" s="720"/>
      <c r="M597" s="720"/>
      <c r="N597" s="720">
        <v>2</v>
      </c>
      <c r="O597" s="720">
        <v>10530</v>
      </c>
      <c r="P597" s="745"/>
      <c r="Q597" s="721">
        <v>5265</v>
      </c>
    </row>
    <row r="598" spans="1:17" ht="14.45" customHeight="1" x14ac:dyDescent="0.2">
      <c r="A598" s="715" t="s">
        <v>518</v>
      </c>
      <c r="B598" s="716" t="s">
        <v>3028</v>
      </c>
      <c r="C598" s="716" t="s">
        <v>3029</v>
      </c>
      <c r="D598" s="716" t="s">
        <v>4052</v>
      </c>
      <c r="E598" s="716" t="s">
        <v>4053</v>
      </c>
      <c r="F598" s="720"/>
      <c r="G598" s="720"/>
      <c r="H598" s="720"/>
      <c r="I598" s="720"/>
      <c r="J598" s="720"/>
      <c r="K598" s="720"/>
      <c r="L598" s="720"/>
      <c r="M598" s="720"/>
      <c r="N598" s="720">
        <v>1</v>
      </c>
      <c r="O598" s="720">
        <v>1878</v>
      </c>
      <c r="P598" s="745"/>
      <c r="Q598" s="721">
        <v>1878</v>
      </c>
    </row>
    <row r="599" spans="1:17" ht="14.45" customHeight="1" x14ac:dyDescent="0.2">
      <c r="A599" s="715" t="s">
        <v>518</v>
      </c>
      <c r="B599" s="716" t="s">
        <v>3028</v>
      </c>
      <c r="C599" s="716" t="s">
        <v>3029</v>
      </c>
      <c r="D599" s="716" t="s">
        <v>4054</v>
      </c>
      <c r="E599" s="716" t="s">
        <v>4055</v>
      </c>
      <c r="F599" s="720"/>
      <c r="G599" s="720"/>
      <c r="H599" s="720"/>
      <c r="I599" s="720"/>
      <c r="J599" s="720"/>
      <c r="K599" s="720"/>
      <c r="L599" s="720"/>
      <c r="M599" s="720"/>
      <c r="N599" s="720">
        <v>1</v>
      </c>
      <c r="O599" s="720">
        <v>3163</v>
      </c>
      <c r="P599" s="745"/>
      <c r="Q599" s="721">
        <v>3163</v>
      </c>
    </row>
    <row r="600" spans="1:17" ht="14.45" customHeight="1" x14ac:dyDescent="0.2">
      <c r="A600" s="715" t="s">
        <v>518</v>
      </c>
      <c r="B600" s="716" t="s">
        <v>3028</v>
      </c>
      <c r="C600" s="716" t="s">
        <v>3029</v>
      </c>
      <c r="D600" s="716" t="s">
        <v>4056</v>
      </c>
      <c r="E600" s="716" t="s">
        <v>4057</v>
      </c>
      <c r="F600" s="720"/>
      <c r="G600" s="720"/>
      <c r="H600" s="720"/>
      <c r="I600" s="720"/>
      <c r="J600" s="720"/>
      <c r="K600" s="720"/>
      <c r="L600" s="720"/>
      <c r="M600" s="720"/>
      <c r="N600" s="720">
        <v>1</v>
      </c>
      <c r="O600" s="720">
        <v>2525</v>
      </c>
      <c r="P600" s="745"/>
      <c r="Q600" s="721">
        <v>2525</v>
      </c>
    </row>
    <row r="601" spans="1:17" ht="14.45" customHeight="1" x14ac:dyDescent="0.2">
      <c r="A601" s="715" t="s">
        <v>518</v>
      </c>
      <c r="B601" s="716" t="s">
        <v>3028</v>
      </c>
      <c r="C601" s="716" t="s">
        <v>3029</v>
      </c>
      <c r="D601" s="716" t="s">
        <v>4058</v>
      </c>
      <c r="E601" s="716" t="s">
        <v>4059</v>
      </c>
      <c r="F601" s="720">
        <v>1</v>
      </c>
      <c r="G601" s="720">
        <v>933</v>
      </c>
      <c r="H601" s="720"/>
      <c r="I601" s="720">
        <v>933</v>
      </c>
      <c r="J601" s="720"/>
      <c r="K601" s="720"/>
      <c r="L601" s="720"/>
      <c r="M601" s="720"/>
      <c r="N601" s="720"/>
      <c r="O601" s="720"/>
      <c r="P601" s="745"/>
      <c r="Q601" s="721"/>
    </row>
    <row r="602" spans="1:17" ht="14.45" customHeight="1" x14ac:dyDescent="0.2">
      <c r="A602" s="715" t="s">
        <v>518</v>
      </c>
      <c r="B602" s="716" t="s">
        <v>3028</v>
      </c>
      <c r="C602" s="716" t="s">
        <v>3029</v>
      </c>
      <c r="D602" s="716" t="s">
        <v>4060</v>
      </c>
      <c r="E602" s="716" t="s">
        <v>4061</v>
      </c>
      <c r="F602" s="720">
        <v>1</v>
      </c>
      <c r="G602" s="720">
        <v>3449</v>
      </c>
      <c r="H602" s="720"/>
      <c r="I602" s="720">
        <v>3449</v>
      </c>
      <c r="J602" s="720"/>
      <c r="K602" s="720"/>
      <c r="L602" s="720"/>
      <c r="M602" s="720"/>
      <c r="N602" s="720"/>
      <c r="O602" s="720"/>
      <c r="P602" s="745"/>
      <c r="Q602" s="721"/>
    </row>
    <row r="603" spans="1:17" ht="14.45" customHeight="1" x14ac:dyDescent="0.2">
      <c r="A603" s="715" t="s">
        <v>518</v>
      </c>
      <c r="B603" s="716" t="s">
        <v>3028</v>
      </c>
      <c r="C603" s="716" t="s">
        <v>3029</v>
      </c>
      <c r="D603" s="716" t="s">
        <v>4062</v>
      </c>
      <c r="E603" s="716" t="s">
        <v>4063</v>
      </c>
      <c r="F603" s="720"/>
      <c r="G603" s="720"/>
      <c r="H603" s="720"/>
      <c r="I603" s="720"/>
      <c r="J603" s="720"/>
      <c r="K603" s="720"/>
      <c r="L603" s="720"/>
      <c r="M603" s="720"/>
      <c r="N603" s="720">
        <v>1</v>
      </c>
      <c r="O603" s="720">
        <v>0</v>
      </c>
      <c r="P603" s="745"/>
      <c r="Q603" s="721">
        <v>0</v>
      </c>
    </row>
    <row r="604" spans="1:17" ht="14.45" customHeight="1" x14ac:dyDescent="0.2">
      <c r="A604" s="715" t="s">
        <v>518</v>
      </c>
      <c r="B604" s="716" t="s">
        <v>3028</v>
      </c>
      <c r="C604" s="716" t="s">
        <v>3029</v>
      </c>
      <c r="D604" s="716" t="s">
        <v>4064</v>
      </c>
      <c r="E604" s="716" t="s">
        <v>4065</v>
      </c>
      <c r="F604" s="720"/>
      <c r="G604" s="720"/>
      <c r="H604" s="720"/>
      <c r="I604" s="720"/>
      <c r="J604" s="720"/>
      <c r="K604" s="720"/>
      <c r="L604" s="720"/>
      <c r="M604" s="720"/>
      <c r="N604" s="720">
        <v>1</v>
      </c>
      <c r="O604" s="720">
        <v>5860</v>
      </c>
      <c r="P604" s="745"/>
      <c r="Q604" s="721">
        <v>5860</v>
      </c>
    </row>
    <row r="605" spans="1:17" ht="14.45" customHeight="1" x14ac:dyDescent="0.2">
      <c r="A605" s="715" t="s">
        <v>518</v>
      </c>
      <c r="B605" s="716" t="s">
        <v>4066</v>
      </c>
      <c r="C605" s="716" t="s">
        <v>3029</v>
      </c>
      <c r="D605" s="716" t="s">
        <v>3381</v>
      </c>
      <c r="E605" s="716" t="s">
        <v>3382</v>
      </c>
      <c r="F605" s="720">
        <v>3</v>
      </c>
      <c r="G605" s="720">
        <v>522</v>
      </c>
      <c r="H605" s="720"/>
      <c r="I605" s="720">
        <v>174</v>
      </c>
      <c r="J605" s="720"/>
      <c r="K605" s="720"/>
      <c r="L605" s="720"/>
      <c r="M605" s="720"/>
      <c r="N605" s="720"/>
      <c r="O605" s="720"/>
      <c r="P605" s="745"/>
      <c r="Q605" s="721"/>
    </row>
    <row r="606" spans="1:17" ht="14.45" customHeight="1" x14ac:dyDescent="0.2">
      <c r="A606" s="715" t="s">
        <v>518</v>
      </c>
      <c r="B606" s="716" t="s">
        <v>4066</v>
      </c>
      <c r="C606" s="716" t="s">
        <v>3029</v>
      </c>
      <c r="D606" s="716" t="s">
        <v>3954</v>
      </c>
      <c r="E606" s="716" t="s">
        <v>3955</v>
      </c>
      <c r="F606" s="720">
        <v>1</v>
      </c>
      <c r="G606" s="720">
        <v>541</v>
      </c>
      <c r="H606" s="720"/>
      <c r="I606" s="720">
        <v>541</v>
      </c>
      <c r="J606" s="720"/>
      <c r="K606" s="720"/>
      <c r="L606" s="720"/>
      <c r="M606" s="720"/>
      <c r="N606" s="720"/>
      <c r="O606" s="720"/>
      <c r="P606" s="745"/>
      <c r="Q606" s="721"/>
    </row>
    <row r="607" spans="1:17" ht="14.45" customHeight="1" x14ac:dyDescent="0.2">
      <c r="A607" s="715" t="s">
        <v>518</v>
      </c>
      <c r="B607" s="716" t="s">
        <v>4066</v>
      </c>
      <c r="C607" s="716" t="s">
        <v>3029</v>
      </c>
      <c r="D607" s="716" t="s">
        <v>3956</v>
      </c>
      <c r="E607" s="716" t="s">
        <v>3957</v>
      </c>
      <c r="F607" s="720">
        <v>1</v>
      </c>
      <c r="G607" s="720">
        <v>1400</v>
      </c>
      <c r="H607" s="720">
        <v>0.99857346647646217</v>
      </c>
      <c r="I607" s="720">
        <v>1400</v>
      </c>
      <c r="J607" s="720">
        <v>1</v>
      </c>
      <c r="K607" s="720">
        <v>1402</v>
      </c>
      <c r="L607" s="720">
        <v>1</v>
      </c>
      <c r="M607" s="720">
        <v>1402</v>
      </c>
      <c r="N607" s="720"/>
      <c r="O607" s="720"/>
      <c r="P607" s="745"/>
      <c r="Q607" s="721"/>
    </row>
    <row r="608" spans="1:17" ht="14.45" customHeight="1" x14ac:dyDescent="0.2">
      <c r="A608" s="715" t="s">
        <v>518</v>
      </c>
      <c r="B608" s="716" t="s">
        <v>4066</v>
      </c>
      <c r="C608" s="716" t="s">
        <v>3029</v>
      </c>
      <c r="D608" s="716" t="s">
        <v>3958</v>
      </c>
      <c r="E608" s="716" t="s">
        <v>3959</v>
      </c>
      <c r="F608" s="720"/>
      <c r="G608" s="720"/>
      <c r="H608" s="720"/>
      <c r="I608" s="720"/>
      <c r="J608" s="720">
        <v>1</v>
      </c>
      <c r="K608" s="720">
        <v>1034</v>
      </c>
      <c r="L608" s="720">
        <v>1</v>
      </c>
      <c r="M608" s="720">
        <v>1034</v>
      </c>
      <c r="N608" s="720"/>
      <c r="O608" s="720"/>
      <c r="P608" s="745"/>
      <c r="Q608" s="721"/>
    </row>
    <row r="609" spans="1:17" ht="14.45" customHeight="1" x14ac:dyDescent="0.2">
      <c r="A609" s="715" t="s">
        <v>518</v>
      </c>
      <c r="B609" s="716" t="s">
        <v>4066</v>
      </c>
      <c r="C609" s="716" t="s">
        <v>3029</v>
      </c>
      <c r="D609" s="716" t="s">
        <v>3960</v>
      </c>
      <c r="E609" s="716" t="s">
        <v>3961</v>
      </c>
      <c r="F609" s="720">
        <v>0</v>
      </c>
      <c r="G609" s="720">
        <v>0</v>
      </c>
      <c r="H609" s="720"/>
      <c r="I609" s="720"/>
      <c r="J609" s="720"/>
      <c r="K609" s="720"/>
      <c r="L609" s="720"/>
      <c r="M609" s="720"/>
      <c r="N609" s="720"/>
      <c r="O609" s="720"/>
      <c r="P609" s="745"/>
      <c r="Q609" s="721"/>
    </row>
    <row r="610" spans="1:17" ht="14.45" customHeight="1" x14ac:dyDescent="0.2">
      <c r="A610" s="715" t="s">
        <v>518</v>
      </c>
      <c r="B610" s="716" t="s">
        <v>4066</v>
      </c>
      <c r="C610" s="716" t="s">
        <v>3029</v>
      </c>
      <c r="D610" s="716" t="s">
        <v>3998</v>
      </c>
      <c r="E610" s="716" t="s">
        <v>3999</v>
      </c>
      <c r="F610" s="720"/>
      <c r="G610" s="720"/>
      <c r="H610" s="720"/>
      <c r="I610" s="720"/>
      <c r="J610" s="720">
        <v>1</v>
      </c>
      <c r="K610" s="720">
        <v>86</v>
      </c>
      <c r="L610" s="720">
        <v>1</v>
      </c>
      <c r="M610" s="720">
        <v>86</v>
      </c>
      <c r="N610" s="720"/>
      <c r="O610" s="720"/>
      <c r="P610" s="745"/>
      <c r="Q610" s="721"/>
    </row>
    <row r="611" spans="1:17" ht="14.45" customHeight="1" x14ac:dyDescent="0.2">
      <c r="A611" s="715" t="s">
        <v>518</v>
      </c>
      <c r="B611" s="716" t="s">
        <v>4066</v>
      </c>
      <c r="C611" s="716" t="s">
        <v>3029</v>
      </c>
      <c r="D611" s="716" t="s">
        <v>4067</v>
      </c>
      <c r="E611" s="716" t="s">
        <v>3955</v>
      </c>
      <c r="F611" s="720">
        <v>1</v>
      </c>
      <c r="G611" s="720">
        <v>688</v>
      </c>
      <c r="H611" s="720">
        <v>0.49927431059506533</v>
      </c>
      <c r="I611" s="720">
        <v>688</v>
      </c>
      <c r="J611" s="720">
        <v>2</v>
      </c>
      <c r="K611" s="720">
        <v>1378</v>
      </c>
      <c r="L611" s="720">
        <v>1</v>
      </c>
      <c r="M611" s="720">
        <v>689</v>
      </c>
      <c r="N611" s="720"/>
      <c r="O611" s="720"/>
      <c r="P611" s="745"/>
      <c r="Q611" s="721"/>
    </row>
    <row r="612" spans="1:17" ht="14.45" customHeight="1" x14ac:dyDescent="0.2">
      <c r="A612" s="715" t="s">
        <v>518</v>
      </c>
      <c r="B612" s="716" t="s">
        <v>4066</v>
      </c>
      <c r="C612" s="716" t="s">
        <v>3029</v>
      </c>
      <c r="D612" s="716" t="s">
        <v>3145</v>
      </c>
      <c r="E612" s="716" t="s">
        <v>3146</v>
      </c>
      <c r="F612" s="720">
        <v>1</v>
      </c>
      <c r="G612" s="720">
        <v>865</v>
      </c>
      <c r="H612" s="720"/>
      <c r="I612" s="720">
        <v>865</v>
      </c>
      <c r="J612" s="720"/>
      <c r="K612" s="720"/>
      <c r="L612" s="720"/>
      <c r="M612" s="720"/>
      <c r="N612" s="720"/>
      <c r="O612" s="720"/>
      <c r="P612" s="745"/>
      <c r="Q612" s="721"/>
    </row>
    <row r="613" spans="1:17" ht="14.45" customHeight="1" x14ac:dyDescent="0.2">
      <c r="A613" s="715" t="s">
        <v>518</v>
      </c>
      <c r="B613" s="716" t="s">
        <v>4066</v>
      </c>
      <c r="C613" s="716" t="s">
        <v>3029</v>
      </c>
      <c r="D613" s="716" t="s">
        <v>3155</v>
      </c>
      <c r="E613" s="716" t="s">
        <v>3156</v>
      </c>
      <c r="F613" s="720">
        <v>0</v>
      </c>
      <c r="G613" s="720">
        <v>0</v>
      </c>
      <c r="H613" s="720">
        <v>0</v>
      </c>
      <c r="I613" s="720"/>
      <c r="J613" s="720">
        <v>1</v>
      </c>
      <c r="K613" s="720">
        <v>375</v>
      </c>
      <c r="L613" s="720">
        <v>1</v>
      </c>
      <c r="M613" s="720">
        <v>375</v>
      </c>
      <c r="N613" s="720"/>
      <c r="O613" s="720"/>
      <c r="P613" s="745"/>
      <c r="Q613" s="721"/>
    </row>
    <row r="614" spans="1:17" ht="14.45" customHeight="1" x14ac:dyDescent="0.2">
      <c r="A614" s="715" t="s">
        <v>518</v>
      </c>
      <c r="B614" s="716" t="s">
        <v>4066</v>
      </c>
      <c r="C614" s="716" t="s">
        <v>3029</v>
      </c>
      <c r="D614" s="716" t="s">
        <v>4023</v>
      </c>
      <c r="E614" s="716" t="s">
        <v>4024</v>
      </c>
      <c r="F614" s="720"/>
      <c r="G614" s="720"/>
      <c r="H614" s="720"/>
      <c r="I614" s="720"/>
      <c r="J614" s="720">
        <v>1</v>
      </c>
      <c r="K614" s="720">
        <v>1544</v>
      </c>
      <c r="L614" s="720">
        <v>1</v>
      </c>
      <c r="M614" s="720">
        <v>1544</v>
      </c>
      <c r="N614" s="720"/>
      <c r="O614" s="720"/>
      <c r="P614" s="745"/>
      <c r="Q614" s="721"/>
    </row>
    <row r="615" spans="1:17" ht="14.45" customHeight="1" x14ac:dyDescent="0.2">
      <c r="A615" s="715" t="s">
        <v>518</v>
      </c>
      <c r="B615" s="716" t="s">
        <v>4066</v>
      </c>
      <c r="C615" s="716" t="s">
        <v>3029</v>
      </c>
      <c r="D615" s="716" t="s">
        <v>3163</v>
      </c>
      <c r="E615" s="716" t="s">
        <v>3164</v>
      </c>
      <c r="F615" s="720"/>
      <c r="G615" s="720"/>
      <c r="H615" s="720"/>
      <c r="I615" s="720"/>
      <c r="J615" s="720">
        <v>1</v>
      </c>
      <c r="K615" s="720">
        <v>391</v>
      </c>
      <c r="L615" s="720">
        <v>1</v>
      </c>
      <c r="M615" s="720">
        <v>391</v>
      </c>
      <c r="N615" s="720"/>
      <c r="O615" s="720"/>
      <c r="P615" s="745"/>
      <c r="Q615" s="721"/>
    </row>
    <row r="616" spans="1:17" ht="14.45" customHeight="1" x14ac:dyDescent="0.2">
      <c r="A616" s="715" t="s">
        <v>518</v>
      </c>
      <c r="B616" s="716" t="s">
        <v>4066</v>
      </c>
      <c r="C616" s="716" t="s">
        <v>3029</v>
      </c>
      <c r="D616" s="716" t="s">
        <v>4068</v>
      </c>
      <c r="E616" s="716" t="s">
        <v>4069</v>
      </c>
      <c r="F616" s="720"/>
      <c r="G616" s="720"/>
      <c r="H616" s="720"/>
      <c r="I616" s="720"/>
      <c r="J616" s="720">
        <v>1</v>
      </c>
      <c r="K616" s="720">
        <v>506</v>
      </c>
      <c r="L616" s="720">
        <v>1</v>
      </c>
      <c r="M616" s="720">
        <v>506</v>
      </c>
      <c r="N616" s="720"/>
      <c r="O616" s="720"/>
      <c r="P616" s="745"/>
      <c r="Q616" s="721"/>
    </row>
    <row r="617" spans="1:17" ht="14.45" customHeight="1" x14ac:dyDescent="0.2">
      <c r="A617" s="715" t="s">
        <v>518</v>
      </c>
      <c r="B617" s="716" t="s">
        <v>4066</v>
      </c>
      <c r="C617" s="716" t="s">
        <v>3029</v>
      </c>
      <c r="D617" s="716" t="s">
        <v>4070</v>
      </c>
      <c r="E617" s="716" t="s">
        <v>4071</v>
      </c>
      <c r="F617" s="720">
        <v>2</v>
      </c>
      <c r="G617" s="720">
        <v>5524</v>
      </c>
      <c r="H617" s="720"/>
      <c r="I617" s="720">
        <v>2762</v>
      </c>
      <c r="J617" s="720"/>
      <c r="K617" s="720"/>
      <c r="L617" s="720"/>
      <c r="M617" s="720"/>
      <c r="N617" s="720"/>
      <c r="O617" s="720"/>
      <c r="P617" s="745"/>
      <c r="Q617" s="721"/>
    </row>
    <row r="618" spans="1:17" ht="14.45" customHeight="1" x14ac:dyDescent="0.2">
      <c r="A618" s="715" t="s">
        <v>518</v>
      </c>
      <c r="B618" s="716" t="s">
        <v>4066</v>
      </c>
      <c r="C618" s="716" t="s">
        <v>3029</v>
      </c>
      <c r="D618" s="716" t="s">
        <v>4029</v>
      </c>
      <c r="E618" s="716" t="s">
        <v>4030</v>
      </c>
      <c r="F618" s="720"/>
      <c r="G618" s="720"/>
      <c r="H618" s="720"/>
      <c r="I618" s="720"/>
      <c r="J618" s="720">
        <v>1</v>
      </c>
      <c r="K618" s="720">
        <v>311</v>
      </c>
      <c r="L618" s="720">
        <v>1</v>
      </c>
      <c r="M618" s="720">
        <v>311</v>
      </c>
      <c r="N618" s="720"/>
      <c r="O618" s="720"/>
      <c r="P618" s="745"/>
      <c r="Q618" s="721"/>
    </row>
    <row r="619" spans="1:17" ht="14.45" customHeight="1" x14ac:dyDescent="0.2">
      <c r="A619" s="715" t="s">
        <v>518</v>
      </c>
      <c r="B619" s="716" t="s">
        <v>4066</v>
      </c>
      <c r="C619" s="716" t="s">
        <v>3029</v>
      </c>
      <c r="D619" s="716" t="s">
        <v>4072</v>
      </c>
      <c r="E619" s="716" t="s">
        <v>4073</v>
      </c>
      <c r="F619" s="720"/>
      <c r="G619" s="720"/>
      <c r="H619" s="720"/>
      <c r="I619" s="720"/>
      <c r="J619" s="720">
        <v>2</v>
      </c>
      <c r="K619" s="720">
        <v>3476</v>
      </c>
      <c r="L619" s="720">
        <v>1</v>
      </c>
      <c r="M619" s="720">
        <v>1738</v>
      </c>
      <c r="N619" s="720"/>
      <c r="O619" s="720"/>
      <c r="P619" s="745"/>
      <c r="Q619" s="721"/>
    </row>
    <row r="620" spans="1:17" ht="14.45" customHeight="1" x14ac:dyDescent="0.2">
      <c r="A620" s="715" t="s">
        <v>518</v>
      </c>
      <c r="B620" s="716" t="s">
        <v>4066</v>
      </c>
      <c r="C620" s="716" t="s">
        <v>3029</v>
      </c>
      <c r="D620" s="716" t="s">
        <v>4033</v>
      </c>
      <c r="E620" s="716" t="s">
        <v>4034</v>
      </c>
      <c r="F620" s="720">
        <v>1</v>
      </c>
      <c r="G620" s="720">
        <v>1841</v>
      </c>
      <c r="H620" s="720">
        <v>0.19978296256104178</v>
      </c>
      <c r="I620" s="720">
        <v>1841</v>
      </c>
      <c r="J620" s="720">
        <v>5</v>
      </c>
      <c r="K620" s="720">
        <v>9215</v>
      </c>
      <c r="L620" s="720">
        <v>1</v>
      </c>
      <c r="M620" s="720">
        <v>1843</v>
      </c>
      <c r="N620" s="720"/>
      <c r="O620" s="720"/>
      <c r="P620" s="745"/>
      <c r="Q620" s="721"/>
    </row>
    <row r="621" spans="1:17" ht="14.45" customHeight="1" x14ac:dyDescent="0.2">
      <c r="A621" s="715" t="s">
        <v>518</v>
      </c>
      <c r="B621" s="716" t="s">
        <v>4066</v>
      </c>
      <c r="C621" s="716" t="s">
        <v>3029</v>
      </c>
      <c r="D621" s="716" t="s">
        <v>3342</v>
      </c>
      <c r="E621" s="716" t="s">
        <v>3343</v>
      </c>
      <c r="F621" s="720">
        <v>1</v>
      </c>
      <c r="G621" s="720">
        <v>1633</v>
      </c>
      <c r="H621" s="720"/>
      <c r="I621" s="720">
        <v>1633</v>
      </c>
      <c r="J621" s="720"/>
      <c r="K621" s="720"/>
      <c r="L621" s="720"/>
      <c r="M621" s="720"/>
      <c r="N621" s="720"/>
      <c r="O621" s="720"/>
      <c r="P621" s="745"/>
      <c r="Q621" s="721"/>
    </row>
    <row r="622" spans="1:17" ht="14.45" customHeight="1" x14ac:dyDescent="0.2">
      <c r="A622" s="715" t="s">
        <v>518</v>
      </c>
      <c r="B622" s="716" t="s">
        <v>4066</v>
      </c>
      <c r="C622" s="716" t="s">
        <v>3029</v>
      </c>
      <c r="D622" s="716" t="s">
        <v>4074</v>
      </c>
      <c r="E622" s="716" t="s">
        <v>4075</v>
      </c>
      <c r="F622" s="720"/>
      <c r="G622" s="720"/>
      <c r="H622" s="720"/>
      <c r="I622" s="720"/>
      <c r="J622" s="720">
        <v>1</v>
      </c>
      <c r="K622" s="720">
        <v>0</v>
      </c>
      <c r="L622" s="720"/>
      <c r="M622" s="720">
        <v>0</v>
      </c>
      <c r="N622" s="720"/>
      <c r="O622" s="720"/>
      <c r="P622" s="745"/>
      <c r="Q622" s="721"/>
    </row>
    <row r="623" spans="1:17" ht="14.45" customHeight="1" x14ac:dyDescent="0.2">
      <c r="A623" s="715" t="s">
        <v>518</v>
      </c>
      <c r="B623" s="716" t="s">
        <v>4076</v>
      </c>
      <c r="C623" s="716" t="s">
        <v>3029</v>
      </c>
      <c r="D623" s="716" t="s">
        <v>3062</v>
      </c>
      <c r="E623" s="716" t="s">
        <v>3063</v>
      </c>
      <c r="F623" s="720"/>
      <c r="G623" s="720"/>
      <c r="H623" s="720"/>
      <c r="I623" s="720"/>
      <c r="J623" s="720">
        <v>1</v>
      </c>
      <c r="K623" s="720">
        <v>1681</v>
      </c>
      <c r="L623" s="720">
        <v>1</v>
      </c>
      <c r="M623" s="720">
        <v>1681</v>
      </c>
      <c r="N623" s="720"/>
      <c r="O623" s="720"/>
      <c r="P623" s="745"/>
      <c r="Q623" s="721"/>
    </row>
    <row r="624" spans="1:17" ht="14.45" customHeight="1" x14ac:dyDescent="0.2">
      <c r="A624" s="715" t="s">
        <v>518</v>
      </c>
      <c r="B624" s="716" t="s">
        <v>4077</v>
      </c>
      <c r="C624" s="716" t="s">
        <v>3029</v>
      </c>
      <c r="D624" s="716" t="s">
        <v>4078</v>
      </c>
      <c r="E624" s="716" t="s">
        <v>4079</v>
      </c>
      <c r="F624" s="720">
        <v>2</v>
      </c>
      <c r="G624" s="720">
        <v>274</v>
      </c>
      <c r="H624" s="720"/>
      <c r="I624" s="720">
        <v>137</v>
      </c>
      <c r="J624" s="720"/>
      <c r="K624" s="720"/>
      <c r="L624" s="720"/>
      <c r="M624" s="720"/>
      <c r="N624" s="720"/>
      <c r="O624" s="720"/>
      <c r="P624" s="745"/>
      <c r="Q624" s="721"/>
    </row>
    <row r="625" spans="1:17" ht="14.45" customHeight="1" x14ac:dyDescent="0.2">
      <c r="A625" s="715" t="s">
        <v>518</v>
      </c>
      <c r="B625" s="716" t="s">
        <v>4077</v>
      </c>
      <c r="C625" s="716" t="s">
        <v>3029</v>
      </c>
      <c r="D625" s="716" t="s">
        <v>4080</v>
      </c>
      <c r="E625" s="716" t="s">
        <v>4081</v>
      </c>
      <c r="F625" s="720">
        <v>2</v>
      </c>
      <c r="G625" s="720">
        <v>192</v>
      </c>
      <c r="H625" s="720"/>
      <c r="I625" s="720">
        <v>96</v>
      </c>
      <c r="J625" s="720"/>
      <c r="K625" s="720"/>
      <c r="L625" s="720"/>
      <c r="M625" s="720"/>
      <c r="N625" s="720"/>
      <c r="O625" s="720"/>
      <c r="P625" s="745"/>
      <c r="Q625" s="721"/>
    </row>
    <row r="626" spans="1:17" ht="14.45" customHeight="1" x14ac:dyDescent="0.2">
      <c r="A626" s="715" t="s">
        <v>518</v>
      </c>
      <c r="B626" s="716" t="s">
        <v>4077</v>
      </c>
      <c r="C626" s="716" t="s">
        <v>3029</v>
      </c>
      <c r="D626" s="716" t="s">
        <v>4082</v>
      </c>
      <c r="E626" s="716" t="s">
        <v>4083</v>
      </c>
      <c r="F626" s="720">
        <v>1</v>
      </c>
      <c r="G626" s="720">
        <v>751</v>
      </c>
      <c r="H626" s="720">
        <v>0.49867197875166003</v>
      </c>
      <c r="I626" s="720">
        <v>751</v>
      </c>
      <c r="J626" s="720">
        <v>2</v>
      </c>
      <c r="K626" s="720">
        <v>1506</v>
      </c>
      <c r="L626" s="720">
        <v>1</v>
      </c>
      <c r="M626" s="720">
        <v>753</v>
      </c>
      <c r="N626" s="720"/>
      <c r="O626" s="720"/>
      <c r="P626" s="745"/>
      <c r="Q626" s="721"/>
    </row>
    <row r="627" spans="1:17" ht="14.45" customHeight="1" x14ac:dyDescent="0.2">
      <c r="A627" s="715" t="s">
        <v>518</v>
      </c>
      <c r="B627" s="716" t="s">
        <v>4077</v>
      </c>
      <c r="C627" s="716" t="s">
        <v>3029</v>
      </c>
      <c r="D627" s="716" t="s">
        <v>3940</v>
      </c>
      <c r="E627" s="716" t="s">
        <v>3941</v>
      </c>
      <c r="F627" s="720"/>
      <c r="G627" s="720"/>
      <c r="H627" s="720"/>
      <c r="I627" s="720"/>
      <c r="J627" s="720"/>
      <c r="K627" s="720"/>
      <c r="L627" s="720"/>
      <c r="M627" s="720"/>
      <c r="N627" s="720">
        <v>1</v>
      </c>
      <c r="O627" s="720">
        <v>367</v>
      </c>
      <c r="P627" s="745"/>
      <c r="Q627" s="721">
        <v>367</v>
      </c>
    </row>
    <row r="628" spans="1:17" ht="14.45" customHeight="1" x14ac:dyDescent="0.2">
      <c r="A628" s="715" t="s">
        <v>518</v>
      </c>
      <c r="B628" s="716" t="s">
        <v>4077</v>
      </c>
      <c r="C628" s="716" t="s">
        <v>3029</v>
      </c>
      <c r="D628" s="716" t="s">
        <v>3942</v>
      </c>
      <c r="E628" s="716" t="s">
        <v>3943</v>
      </c>
      <c r="F628" s="720">
        <v>1</v>
      </c>
      <c r="G628" s="720">
        <v>370</v>
      </c>
      <c r="H628" s="720"/>
      <c r="I628" s="720">
        <v>370</v>
      </c>
      <c r="J628" s="720"/>
      <c r="K628" s="720"/>
      <c r="L628" s="720"/>
      <c r="M628" s="720"/>
      <c r="N628" s="720"/>
      <c r="O628" s="720"/>
      <c r="P628" s="745"/>
      <c r="Q628" s="721"/>
    </row>
    <row r="629" spans="1:17" ht="14.45" customHeight="1" x14ac:dyDescent="0.2">
      <c r="A629" s="715" t="s">
        <v>518</v>
      </c>
      <c r="B629" s="716" t="s">
        <v>4077</v>
      </c>
      <c r="C629" s="716" t="s">
        <v>3029</v>
      </c>
      <c r="D629" s="716" t="s">
        <v>3944</v>
      </c>
      <c r="E629" s="716" t="s">
        <v>3945</v>
      </c>
      <c r="F629" s="720">
        <v>1</v>
      </c>
      <c r="G629" s="720">
        <v>980</v>
      </c>
      <c r="H629" s="720"/>
      <c r="I629" s="720">
        <v>980</v>
      </c>
      <c r="J629" s="720"/>
      <c r="K629" s="720"/>
      <c r="L629" s="720"/>
      <c r="M629" s="720"/>
      <c r="N629" s="720"/>
      <c r="O629" s="720"/>
      <c r="P629" s="745"/>
      <c r="Q629" s="721"/>
    </row>
    <row r="630" spans="1:17" ht="14.45" customHeight="1" x14ac:dyDescent="0.2">
      <c r="A630" s="715" t="s">
        <v>518</v>
      </c>
      <c r="B630" s="716" t="s">
        <v>4077</v>
      </c>
      <c r="C630" s="716" t="s">
        <v>3029</v>
      </c>
      <c r="D630" s="716" t="s">
        <v>4084</v>
      </c>
      <c r="E630" s="716" t="s">
        <v>4085</v>
      </c>
      <c r="F630" s="720">
        <v>1</v>
      </c>
      <c r="G630" s="720">
        <v>380</v>
      </c>
      <c r="H630" s="720"/>
      <c r="I630" s="720">
        <v>380</v>
      </c>
      <c r="J630" s="720"/>
      <c r="K630" s="720"/>
      <c r="L630" s="720"/>
      <c r="M630" s="720"/>
      <c r="N630" s="720"/>
      <c r="O630" s="720"/>
      <c r="P630" s="745"/>
      <c r="Q630" s="721"/>
    </row>
    <row r="631" spans="1:17" ht="14.45" customHeight="1" x14ac:dyDescent="0.2">
      <c r="A631" s="715" t="s">
        <v>518</v>
      </c>
      <c r="B631" s="716" t="s">
        <v>4077</v>
      </c>
      <c r="C631" s="716" t="s">
        <v>3029</v>
      </c>
      <c r="D631" s="716" t="s">
        <v>3958</v>
      </c>
      <c r="E631" s="716" t="s">
        <v>3959</v>
      </c>
      <c r="F631" s="720"/>
      <c r="G631" s="720"/>
      <c r="H631" s="720"/>
      <c r="I631" s="720"/>
      <c r="J631" s="720">
        <v>1</v>
      </c>
      <c r="K631" s="720">
        <v>1034</v>
      </c>
      <c r="L631" s="720">
        <v>1</v>
      </c>
      <c r="M631" s="720">
        <v>1034</v>
      </c>
      <c r="N631" s="720"/>
      <c r="O631" s="720"/>
      <c r="P631" s="745"/>
      <c r="Q631" s="721"/>
    </row>
    <row r="632" spans="1:17" ht="14.45" customHeight="1" x14ac:dyDescent="0.2">
      <c r="A632" s="715" t="s">
        <v>518</v>
      </c>
      <c r="B632" s="716" t="s">
        <v>4077</v>
      </c>
      <c r="C632" s="716" t="s">
        <v>3029</v>
      </c>
      <c r="D632" s="716" t="s">
        <v>3960</v>
      </c>
      <c r="E632" s="716" t="s">
        <v>3961</v>
      </c>
      <c r="F632" s="720"/>
      <c r="G632" s="720"/>
      <c r="H632" s="720"/>
      <c r="I632" s="720"/>
      <c r="J632" s="720">
        <v>1</v>
      </c>
      <c r="K632" s="720">
        <v>2103</v>
      </c>
      <c r="L632" s="720">
        <v>1</v>
      </c>
      <c r="M632" s="720">
        <v>2103</v>
      </c>
      <c r="N632" s="720"/>
      <c r="O632" s="720"/>
      <c r="P632" s="745"/>
      <c r="Q632" s="721"/>
    </row>
    <row r="633" spans="1:17" ht="14.45" customHeight="1" x14ac:dyDescent="0.2">
      <c r="A633" s="715" t="s">
        <v>518</v>
      </c>
      <c r="B633" s="716" t="s">
        <v>4077</v>
      </c>
      <c r="C633" s="716" t="s">
        <v>3029</v>
      </c>
      <c r="D633" s="716" t="s">
        <v>4086</v>
      </c>
      <c r="E633" s="716" t="s">
        <v>4087</v>
      </c>
      <c r="F633" s="720">
        <v>2</v>
      </c>
      <c r="G633" s="720">
        <v>14652</v>
      </c>
      <c r="H633" s="720">
        <v>1.9948264125255275</v>
      </c>
      <c r="I633" s="720">
        <v>7326</v>
      </c>
      <c r="J633" s="720">
        <v>1</v>
      </c>
      <c r="K633" s="720">
        <v>7345</v>
      </c>
      <c r="L633" s="720">
        <v>1</v>
      </c>
      <c r="M633" s="720">
        <v>7345</v>
      </c>
      <c r="N633" s="720"/>
      <c r="O633" s="720"/>
      <c r="P633" s="745"/>
      <c r="Q633" s="721"/>
    </row>
    <row r="634" spans="1:17" ht="14.45" customHeight="1" x14ac:dyDescent="0.2">
      <c r="A634" s="715" t="s">
        <v>518</v>
      </c>
      <c r="B634" s="716" t="s">
        <v>4077</v>
      </c>
      <c r="C634" s="716" t="s">
        <v>3029</v>
      </c>
      <c r="D634" s="716" t="s">
        <v>3962</v>
      </c>
      <c r="E634" s="716" t="s">
        <v>3963</v>
      </c>
      <c r="F634" s="720">
        <v>1</v>
      </c>
      <c r="G634" s="720">
        <v>1143</v>
      </c>
      <c r="H634" s="720"/>
      <c r="I634" s="720">
        <v>1143</v>
      </c>
      <c r="J634" s="720"/>
      <c r="K634" s="720"/>
      <c r="L634" s="720"/>
      <c r="M634" s="720"/>
      <c r="N634" s="720"/>
      <c r="O634" s="720"/>
      <c r="P634" s="745"/>
      <c r="Q634" s="721"/>
    </row>
    <row r="635" spans="1:17" ht="14.45" customHeight="1" x14ac:dyDescent="0.2">
      <c r="A635" s="715" t="s">
        <v>518</v>
      </c>
      <c r="B635" s="716" t="s">
        <v>4077</v>
      </c>
      <c r="C635" s="716" t="s">
        <v>3029</v>
      </c>
      <c r="D635" s="716" t="s">
        <v>4088</v>
      </c>
      <c r="E635" s="716" t="s">
        <v>4089</v>
      </c>
      <c r="F635" s="720">
        <v>1</v>
      </c>
      <c r="G635" s="720">
        <v>712</v>
      </c>
      <c r="H635" s="720">
        <v>0.99719887955182074</v>
      </c>
      <c r="I635" s="720">
        <v>712</v>
      </c>
      <c r="J635" s="720">
        <v>1</v>
      </c>
      <c r="K635" s="720">
        <v>714</v>
      </c>
      <c r="L635" s="720">
        <v>1</v>
      </c>
      <c r="M635" s="720">
        <v>714</v>
      </c>
      <c r="N635" s="720"/>
      <c r="O635" s="720"/>
      <c r="P635" s="745"/>
      <c r="Q635" s="721"/>
    </row>
    <row r="636" spans="1:17" ht="14.45" customHeight="1" x14ac:dyDescent="0.2">
      <c r="A636" s="715" t="s">
        <v>518</v>
      </c>
      <c r="B636" s="716" t="s">
        <v>4077</v>
      </c>
      <c r="C636" s="716" t="s">
        <v>3029</v>
      </c>
      <c r="D636" s="716" t="s">
        <v>3088</v>
      </c>
      <c r="E636" s="716" t="s">
        <v>3089</v>
      </c>
      <c r="F636" s="720">
        <v>2</v>
      </c>
      <c r="G636" s="720">
        <v>1674</v>
      </c>
      <c r="H636" s="720">
        <v>0.66507747318235999</v>
      </c>
      <c r="I636" s="720">
        <v>837</v>
      </c>
      <c r="J636" s="720">
        <v>3</v>
      </c>
      <c r="K636" s="720">
        <v>2517</v>
      </c>
      <c r="L636" s="720">
        <v>1</v>
      </c>
      <c r="M636" s="720">
        <v>839</v>
      </c>
      <c r="N636" s="720">
        <v>2</v>
      </c>
      <c r="O636" s="720">
        <v>1692</v>
      </c>
      <c r="P636" s="745">
        <v>0.6722288438617402</v>
      </c>
      <c r="Q636" s="721">
        <v>846</v>
      </c>
    </row>
    <row r="637" spans="1:17" ht="14.45" customHeight="1" x14ac:dyDescent="0.2">
      <c r="A637" s="715" t="s">
        <v>518</v>
      </c>
      <c r="B637" s="716" t="s">
        <v>4077</v>
      </c>
      <c r="C637" s="716" t="s">
        <v>3029</v>
      </c>
      <c r="D637" s="716" t="s">
        <v>4070</v>
      </c>
      <c r="E637" s="716" t="s">
        <v>4071</v>
      </c>
      <c r="F637" s="720"/>
      <c r="G637" s="720"/>
      <c r="H637" s="720"/>
      <c r="I637" s="720"/>
      <c r="J637" s="720">
        <v>2</v>
      </c>
      <c r="K637" s="720">
        <v>5529</v>
      </c>
      <c r="L637" s="720">
        <v>1</v>
      </c>
      <c r="M637" s="720">
        <v>2764.5</v>
      </c>
      <c r="N637" s="720"/>
      <c r="O637" s="720"/>
      <c r="P637" s="745"/>
      <c r="Q637" s="721"/>
    </row>
    <row r="638" spans="1:17" ht="14.45" customHeight="1" x14ac:dyDescent="0.2">
      <c r="A638" s="715" t="s">
        <v>518</v>
      </c>
      <c r="B638" s="716" t="s">
        <v>4077</v>
      </c>
      <c r="C638" s="716" t="s">
        <v>3029</v>
      </c>
      <c r="D638" s="716" t="s">
        <v>4037</v>
      </c>
      <c r="E638" s="716" t="s">
        <v>4038</v>
      </c>
      <c r="F638" s="720">
        <v>8</v>
      </c>
      <c r="G638" s="720">
        <v>20512</v>
      </c>
      <c r="H638" s="720">
        <v>2.6594061973291847</v>
      </c>
      <c r="I638" s="720">
        <v>2564</v>
      </c>
      <c r="J638" s="720">
        <v>3</v>
      </c>
      <c r="K638" s="720">
        <v>7713</v>
      </c>
      <c r="L638" s="720">
        <v>1</v>
      </c>
      <c r="M638" s="720">
        <v>2571</v>
      </c>
      <c r="N638" s="720">
        <v>1</v>
      </c>
      <c r="O638" s="720">
        <v>2596</v>
      </c>
      <c r="P638" s="745">
        <v>0.33657461428756646</v>
      </c>
      <c r="Q638" s="721">
        <v>2596</v>
      </c>
    </row>
    <row r="639" spans="1:17" ht="14.45" customHeight="1" x14ac:dyDescent="0.2">
      <c r="A639" s="715" t="s">
        <v>518</v>
      </c>
      <c r="B639" s="716" t="s">
        <v>4077</v>
      </c>
      <c r="C639" s="716" t="s">
        <v>3029</v>
      </c>
      <c r="D639" s="716" t="s">
        <v>4090</v>
      </c>
      <c r="E639" s="716" t="s">
        <v>4091</v>
      </c>
      <c r="F639" s="720">
        <v>1</v>
      </c>
      <c r="G639" s="720">
        <v>3121</v>
      </c>
      <c r="H639" s="720"/>
      <c r="I639" s="720">
        <v>3121</v>
      </c>
      <c r="J639" s="720"/>
      <c r="K639" s="720"/>
      <c r="L639" s="720"/>
      <c r="M639" s="720"/>
      <c r="N639" s="720"/>
      <c r="O639" s="720"/>
      <c r="P639" s="745"/>
      <c r="Q639" s="721"/>
    </row>
    <row r="640" spans="1:17" ht="14.45" customHeight="1" x14ac:dyDescent="0.2">
      <c r="A640" s="715" t="s">
        <v>518</v>
      </c>
      <c r="B640" s="716" t="s">
        <v>4077</v>
      </c>
      <c r="C640" s="716" t="s">
        <v>3029</v>
      </c>
      <c r="D640" s="716" t="s">
        <v>4045</v>
      </c>
      <c r="E640" s="716" t="s">
        <v>4046</v>
      </c>
      <c r="F640" s="720">
        <v>1</v>
      </c>
      <c r="G640" s="720">
        <v>1549</v>
      </c>
      <c r="H640" s="720">
        <v>0.99678249678249675</v>
      </c>
      <c r="I640" s="720">
        <v>1549</v>
      </c>
      <c r="J640" s="720">
        <v>1</v>
      </c>
      <c r="K640" s="720">
        <v>1554</v>
      </c>
      <c r="L640" s="720">
        <v>1</v>
      </c>
      <c r="M640" s="720">
        <v>1554</v>
      </c>
      <c r="N640" s="720"/>
      <c r="O640" s="720"/>
      <c r="P640" s="745"/>
      <c r="Q640" s="721"/>
    </row>
    <row r="641" spans="1:17" ht="14.45" customHeight="1" x14ac:dyDescent="0.2">
      <c r="A641" s="715" t="s">
        <v>518</v>
      </c>
      <c r="B641" s="716" t="s">
        <v>4077</v>
      </c>
      <c r="C641" s="716" t="s">
        <v>3029</v>
      </c>
      <c r="D641" s="716" t="s">
        <v>4092</v>
      </c>
      <c r="E641" s="716" t="s">
        <v>4093</v>
      </c>
      <c r="F641" s="720"/>
      <c r="G641" s="720"/>
      <c r="H641" s="720"/>
      <c r="I641" s="720"/>
      <c r="J641" s="720">
        <v>1</v>
      </c>
      <c r="K641" s="720">
        <v>3316</v>
      </c>
      <c r="L641" s="720">
        <v>1</v>
      </c>
      <c r="M641" s="720">
        <v>3316</v>
      </c>
      <c r="N641" s="720"/>
      <c r="O641" s="720"/>
      <c r="P641" s="745"/>
      <c r="Q641" s="721"/>
    </row>
    <row r="642" spans="1:17" ht="14.45" customHeight="1" x14ac:dyDescent="0.2">
      <c r="A642" s="715" t="s">
        <v>518</v>
      </c>
      <c r="B642" s="716" t="s">
        <v>4077</v>
      </c>
      <c r="C642" s="716" t="s">
        <v>3029</v>
      </c>
      <c r="D642" s="716" t="s">
        <v>4052</v>
      </c>
      <c r="E642" s="716" t="s">
        <v>4053</v>
      </c>
      <c r="F642" s="720"/>
      <c r="G642" s="720"/>
      <c r="H642" s="720"/>
      <c r="I642" s="720"/>
      <c r="J642" s="720">
        <v>3</v>
      </c>
      <c r="K642" s="720">
        <v>5584</v>
      </c>
      <c r="L642" s="720">
        <v>1</v>
      </c>
      <c r="M642" s="720">
        <v>1861.3333333333333</v>
      </c>
      <c r="N642" s="720"/>
      <c r="O642" s="720"/>
      <c r="P642" s="745"/>
      <c r="Q642" s="721"/>
    </row>
    <row r="643" spans="1:17" ht="14.45" customHeight="1" x14ac:dyDescent="0.2">
      <c r="A643" s="715" t="s">
        <v>518</v>
      </c>
      <c r="B643" s="716" t="s">
        <v>4094</v>
      </c>
      <c r="C643" s="716" t="s">
        <v>3029</v>
      </c>
      <c r="D643" s="716" t="s">
        <v>3964</v>
      </c>
      <c r="E643" s="716" t="s">
        <v>3965</v>
      </c>
      <c r="F643" s="720"/>
      <c r="G643" s="720"/>
      <c r="H643" s="720"/>
      <c r="I643" s="720"/>
      <c r="J643" s="720">
        <v>1</v>
      </c>
      <c r="K643" s="720">
        <v>5383</v>
      </c>
      <c r="L643" s="720">
        <v>1</v>
      </c>
      <c r="M643" s="720">
        <v>5383</v>
      </c>
      <c r="N643" s="720"/>
      <c r="O643" s="720"/>
      <c r="P643" s="745"/>
      <c r="Q643" s="721"/>
    </row>
    <row r="644" spans="1:17" ht="14.45" customHeight="1" x14ac:dyDescent="0.2">
      <c r="A644" s="715" t="s">
        <v>518</v>
      </c>
      <c r="B644" s="716" t="s">
        <v>4094</v>
      </c>
      <c r="C644" s="716" t="s">
        <v>3029</v>
      </c>
      <c r="D644" s="716" t="s">
        <v>3304</v>
      </c>
      <c r="E644" s="716" t="s">
        <v>3305</v>
      </c>
      <c r="F644" s="720"/>
      <c r="G644" s="720"/>
      <c r="H644" s="720"/>
      <c r="I644" s="720"/>
      <c r="J644" s="720">
        <v>1</v>
      </c>
      <c r="K644" s="720">
        <v>1313</v>
      </c>
      <c r="L644" s="720">
        <v>1</v>
      </c>
      <c r="M644" s="720">
        <v>1313</v>
      </c>
      <c r="N644" s="720"/>
      <c r="O644" s="720"/>
      <c r="P644" s="745"/>
      <c r="Q644" s="721"/>
    </row>
    <row r="645" spans="1:17" ht="14.45" customHeight="1" x14ac:dyDescent="0.2">
      <c r="A645" s="715" t="s">
        <v>518</v>
      </c>
      <c r="B645" s="716" t="s">
        <v>4094</v>
      </c>
      <c r="C645" s="716" t="s">
        <v>3029</v>
      </c>
      <c r="D645" s="716" t="s">
        <v>3996</v>
      </c>
      <c r="E645" s="716" t="s">
        <v>3997</v>
      </c>
      <c r="F645" s="720"/>
      <c r="G645" s="720"/>
      <c r="H645" s="720"/>
      <c r="I645" s="720"/>
      <c r="J645" s="720">
        <v>1</v>
      </c>
      <c r="K645" s="720">
        <v>0</v>
      </c>
      <c r="L645" s="720"/>
      <c r="M645" s="720">
        <v>0</v>
      </c>
      <c r="N645" s="720"/>
      <c r="O645" s="720"/>
      <c r="P645" s="745"/>
      <c r="Q645" s="721"/>
    </row>
    <row r="646" spans="1:17" ht="14.45" customHeight="1" x14ac:dyDescent="0.2">
      <c r="A646" s="715" t="s">
        <v>518</v>
      </c>
      <c r="B646" s="716" t="s">
        <v>4095</v>
      </c>
      <c r="C646" s="716" t="s">
        <v>3029</v>
      </c>
      <c r="D646" s="716" t="s">
        <v>4001</v>
      </c>
      <c r="E646" s="716" t="s">
        <v>4002</v>
      </c>
      <c r="F646" s="720">
        <v>1</v>
      </c>
      <c r="G646" s="720">
        <v>113</v>
      </c>
      <c r="H646" s="720"/>
      <c r="I646" s="720">
        <v>113</v>
      </c>
      <c r="J646" s="720"/>
      <c r="K646" s="720"/>
      <c r="L646" s="720"/>
      <c r="M646" s="720"/>
      <c r="N646" s="720"/>
      <c r="O646" s="720"/>
      <c r="P646" s="745"/>
      <c r="Q646" s="721"/>
    </row>
    <row r="647" spans="1:17" ht="14.45" customHeight="1" x14ac:dyDescent="0.2">
      <c r="A647" s="715" t="s">
        <v>518</v>
      </c>
      <c r="B647" s="716" t="s">
        <v>4096</v>
      </c>
      <c r="C647" s="716" t="s">
        <v>3029</v>
      </c>
      <c r="D647" s="716" t="s">
        <v>3972</v>
      </c>
      <c r="E647" s="716" t="s">
        <v>3973</v>
      </c>
      <c r="F647" s="720">
        <v>4</v>
      </c>
      <c r="G647" s="720">
        <v>1052</v>
      </c>
      <c r="H647" s="720">
        <v>1.9924242424242424</v>
      </c>
      <c r="I647" s="720">
        <v>263</v>
      </c>
      <c r="J647" s="720">
        <v>2</v>
      </c>
      <c r="K647" s="720">
        <v>528</v>
      </c>
      <c r="L647" s="720">
        <v>1</v>
      </c>
      <c r="M647" s="720">
        <v>264</v>
      </c>
      <c r="N647" s="720"/>
      <c r="O647" s="720"/>
      <c r="P647" s="745"/>
      <c r="Q647" s="721"/>
    </row>
    <row r="648" spans="1:17" ht="14.45" customHeight="1" x14ac:dyDescent="0.2">
      <c r="A648" s="715" t="s">
        <v>518</v>
      </c>
      <c r="B648" s="716" t="s">
        <v>4096</v>
      </c>
      <c r="C648" s="716" t="s">
        <v>3029</v>
      </c>
      <c r="D648" s="716" t="s">
        <v>4097</v>
      </c>
      <c r="E648" s="716" t="s">
        <v>4098</v>
      </c>
      <c r="F648" s="720"/>
      <c r="G648" s="720"/>
      <c r="H648" s="720"/>
      <c r="I648" s="720"/>
      <c r="J648" s="720">
        <v>1</v>
      </c>
      <c r="K648" s="720">
        <v>386</v>
      </c>
      <c r="L648" s="720">
        <v>1</v>
      </c>
      <c r="M648" s="720">
        <v>386</v>
      </c>
      <c r="N648" s="720"/>
      <c r="O648" s="720"/>
      <c r="P648" s="745"/>
      <c r="Q648" s="721"/>
    </row>
    <row r="649" spans="1:17" ht="14.45" customHeight="1" x14ac:dyDescent="0.2">
      <c r="A649" s="715" t="s">
        <v>518</v>
      </c>
      <c r="B649" s="716" t="s">
        <v>4096</v>
      </c>
      <c r="C649" s="716" t="s">
        <v>3029</v>
      </c>
      <c r="D649" s="716" t="s">
        <v>4099</v>
      </c>
      <c r="E649" s="716" t="s">
        <v>4100</v>
      </c>
      <c r="F649" s="720">
        <v>1</v>
      </c>
      <c r="G649" s="720">
        <v>2282</v>
      </c>
      <c r="H649" s="720"/>
      <c r="I649" s="720">
        <v>2282</v>
      </c>
      <c r="J649" s="720"/>
      <c r="K649" s="720"/>
      <c r="L649" s="720"/>
      <c r="M649" s="720"/>
      <c r="N649" s="720"/>
      <c r="O649" s="720"/>
      <c r="P649" s="745"/>
      <c r="Q649" s="721"/>
    </row>
    <row r="650" spans="1:17" ht="14.45" customHeight="1" x14ac:dyDescent="0.2">
      <c r="A650" s="715" t="s">
        <v>518</v>
      </c>
      <c r="B650" s="716" t="s">
        <v>4096</v>
      </c>
      <c r="C650" s="716" t="s">
        <v>3029</v>
      </c>
      <c r="D650" s="716" t="s">
        <v>3088</v>
      </c>
      <c r="E650" s="716" t="s">
        <v>3089</v>
      </c>
      <c r="F650" s="720">
        <v>8</v>
      </c>
      <c r="G650" s="720">
        <v>6696</v>
      </c>
      <c r="H650" s="720">
        <v>1.596185935637664</v>
      </c>
      <c r="I650" s="720">
        <v>837</v>
      </c>
      <c r="J650" s="720">
        <v>5</v>
      </c>
      <c r="K650" s="720">
        <v>4195</v>
      </c>
      <c r="L650" s="720">
        <v>1</v>
      </c>
      <c r="M650" s="720">
        <v>839</v>
      </c>
      <c r="N650" s="720">
        <v>3</v>
      </c>
      <c r="O650" s="720">
        <v>2538</v>
      </c>
      <c r="P650" s="745">
        <v>0.60500595947556612</v>
      </c>
      <c r="Q650" s="721">
        <v>846</v>
      </c>
    </row>
    <row r="651" spans="1:17" ht="14.45" customHeight="1" x14ac:dyDescent="0.2">
      <c r="A651" s="715" t="s">
        <v>518</v>
      </c>
      <c r="B651" s="716" t="s">
        <v>4096</v>
      </c>
      <c r="C651" s="716" t="s">
        <v>3029</v>
      </c>
      <c r="D651" s="716" t="s">
        <v>4101</v>
      </c>
      <c r="E651" s="716" t="s">
        <v>4102</v>
      </c>
      <c r="F651" s="720"/>
      <c r="G651" s="720"/>
      <c r="H651" s="720"/>
      <c r="I651" s="720"/>
      <c r="J651" s="720">
        <v>1</v>
      </c>
      <c r="K651" s="720">
        <v>5614</v>
      </c>
      <c r="L651" s="720">
        <v>1</v>
      </c>
      <c r="M651" s="720">
        <v>5614</v>
      </c>
      <c r="N651" s="720"/>
      <c r="O651" s="720"/>
      <c r="P651" s="745"/>
      <c r="Q651" s="721"/>
    </row>
    <row r="652" spans="1:17" ht="14.45" customHeight="1" x14ac:dyDescent="0.2">
      <c r="A652" s="715" t="s">
        <v>518</v>
      </c>
      <c r="B652" s="716" t="s">
        <v>4096</v>
      </c>
      <c r="C652" s="716" t="s">
        <v>3029</v>
      </c>
      <c r="D652" s="716" t="s">
        <v>3090</v>
      </c>
      <c r="E652" s="716" t="s">
        <v>3091</v>
      </c>
      <c r="F652" s="720"/>
      <c r="G652" s="720"/>
      <c r="H652" s="720"/>
      <c r="I652" s="720"/>
      <c r="J652" s="720">
        <v>2</v>
      </c>
      <c r="K652" s="720">
        <v>5012</v>
      </c>
      <c r="L652" s="720">
        <v>1</v>
      </c>
      <c r="M652" s="720">
        <v>2506</v>
      </c>
      <c r="N652" s="720"/>
      <c r="O652" s="720"/>
      <c r="P652" s="745"/>
      <c r="Q652" s="721"/>
    </row>
    <row r="653" spans="1:17" ht="14.45" customHeight="1" x14ac:dyDescent="0.2">
      <c r="A653" s="715" t="s">
        <v>518</v>
      </c>
      <c r="B653" s="716" t="s">
        <v>4096</v>
      </c>
      <c r="C653" s="716" t="s">
        <v>3029</v>
      </c>
      <c r="D653" s="716" t="s">
        <v>4103</v>
      </c>
      <c r="E653" s="716" t="s">
        <v>4104</v>
      </c>
      <c r="F653" s="720">
        <v>2</v>
      </c>
      <c r="G653" s="720">
        <v>812</v>
      </c>
      <c r="H653" s="720">
        <v>1.9950859950859952</v>
      </c>
      <c r="I653" s="720">
        <v>406</v>
      </c>
      <c r="J653" s="720">
        <v>1</v>
      </c>
      <c r="K653" s="720">
        <v>407</v>
      </c>
      <c r="L653" s="720">
        <v>1</v>
      </c>
      <c r="M653" s="720">
        <v>407</v>
      </c>
      <c r="N653" s="720"/>
      <c r="O653" s="720"/>
      <c r="P653" s="745"/>
      <c r="Q653" s="721"/>
    </row>
    <row r="654" spans="1:17" ht="14.45" customHeight="1" x14ac:dyDescent="0.2">
      <c r="A654" s="715" t="s">
        <v>518</v>
      </c>
      <c r="B654" s="716" t="s">
        <v>4096</v>
      </c>
      <c r="C654" s="716" t="s">
        <v>3029</v>
      </c>
      <c r="D654" s="716" t="s">
        <v>4105</v>
      </c>
      <c r="E654" s="716" t="s">
        <v>4106</v>
      </c>
      <c r="F654" s="720">
        <v>1</v>
      </c>
      <c r="G654" s="720">
        <v>66</v>
      </c>
      <c r="H654" s="720"/>
      <c r="I654" s="720">
        <v>66</v>
      </c>
      <c r="J654" s="720"/>
      <c r="K654" s="720"/>
      <c r="L654" s="720"/>
      <c r="M654" s="720"/>
      <c r="N654" s="720"/>
      <c r="O654" s="720"/>
      <c r="P654" s="745"/>
      <c r="Q654" s="721"/>
    </row>
    <row r="655" spans="1:17" ht="14.45" customHeight="1" x14ac:dyDescent="0.2">
      <c r="A655" s="715" t="s">
        <v>518</v>
      </c>
      <c r="B655" s="716" t="s">
        <v>4096</v>
      </c>
      <c r="C655" s="716" t="s">
        <v>3029</v>
      </c>
      <c r="D655" s="716" t="s">
        <v>4001</v>
      </c>
      <c r="E655" s="716" t="s">
        <v>4002</v>
      </c>
      <c r="F655" s="720">
        <v>1</v>
      </c>
      <c r="G655" s="720">
        <v>113</v>
      </c>
      <c r="H655" s="720">
        <v>0.19824561403508772</v>
      </c>
      <c r="I655" s="720">
        <v>113</v>
      </c>
      <c r="J655" s="720">
        <v>5</v>
      </c>
      <c r="K655" s="720">
        <v>570</v>
      </c>
      <c r="L655" s="720">
        <v>1</v>
      </c>
      <c r="M655" s="720">
        <v>114</v>
      </c>
      <c r="N655" s="720"/>
      <c r="O655" s="720"/>
      <c r="P655" s="745"/>
      <c r="Q655" s="721"/>
    </row>
    <row r="656" spans="1:17" ht="14.45" customHeight="1" x14ac:dyDescent="0.2">
      <c r="A656" s="715" t="s">
        <v>518</v>
      </c>
      <c r="B656" s="716" t="s">
        <v>4096</v>
      </c>
      <c r="C656" s="716" t="s">
        <v>3029</v>
      </c>
      <c r="D656" s="716" t="s">
        <v>4017</v>
      </c>
      <c r="E656" s="716" t="s">
        <v>4018</v>
      </c>
      <c r="F656" s="720">
        <v>2</v>
      </c>
      <c r="G656" s="720">
        <v>12204</v>
      </c>
      <c r="H656" s="720"/>
      <c r="I656" s="720">
        <v>6102</v>
      </c>
      <c r="J656" s="720"/>
      <c r="K656" s="720"/>
      <c r="L656" s="720"/>
      <c r="M656" s="720"/>
      <c r="N656" s="720"/>
      <c r="O656" s="720"/>
      <c r="P656" s="745"/>
      <c r="Q656" s="721"/>
    </row>
    <row r="657" spans="1:17" ht="14.45" customHeight="1" x14ac:dyDescent="0.2">
      <c r="A657" s="715" t="s">
        <v>518</v>
      </c>
      <c r="B657" s="716" t="s">
        <v>4096</v>
      </c>
      <c r="C657" s="716" t="s">
        <v>3029</v>
      </c>
      <c r="D657" s="716" t="s">
        <v>4025</v>
      </c>
      <c r="E657" s="716" t="s">
        <v>4026</v>
      </c>
      <c r="F657" s="720">
        <v>1</v>
      </c>
      <c r="G657" s="720">
        <v>43</v>
      </c>
      <c r="H657" s="720"/>
      <c r="I657" s="720">
        <v>43</v>
      </c>
      <c r="J657" s="720"/>
      <c r="K657" s="720"/>
      <c r="L657" s="720"/>
      <c r="M657" s="720"/>
      <c r="N657" s="720"/>
      <c r="O657" s="720"/>
      <c r="P657" s="745"/>
      <c r="Q657" s="721"/>
    </row>
    <row r="658" spans="1:17" ht="14.45" customHeight="1" x14ac:dyDescent="0.2">
      <c r="A658" s="715" t="s">
        <v>518</v>
      </c>
      <c r="B658" s="716" t="s">
        <v>4096</v>
      </c>
      <c r="C658" s="716" t="s">
        <v>3029</v>
      </c>
      <c r="D658" s="716" t="s">
        <v>4027</v>
      </c>
      <c r="E658" s="716" t="s">
        <v>4028</v>
      </c>
      <c r="F658" s="720">
        <v>1</v>
      </c>
      <c r="G658" s="720">
        <v>1498</v>
      </c>
      <c r="H658" s="720"/>
      <c r="I658" s="720">
        <v>1498</v>
      </c>
      <c r="J658" s="720"/>
      <c r="K658" s="720"/>
      <c r="L658" s="720"/>
      <c r="M658" s="720"/>
      <c r="N658" s="720"/>
      <c r="O658" s="720"/>
      <c r="P658" s="745"/>
      <c r="Q658" s="721"/>
    </row>
    <row r="659" spans="1:17" ht="14.45" customHeight="1" x14ac:dyDescent="0.2">
      <c r="A659" s="715" t="s">
        <v>518</v>
      </c>
      <c r="B659" s="716" t="s">
        <v>4096</v>
      </c>
      <c r="C659" s="716" t="s">
        <v>3029</v>
      </c>
      <c r="D659" s="716" t="s">
        <v>4107</v>
      </c>
      <c r="E659" s="716" t="s">
        <v>4108</v>
      </c>
      <c r="F659" s="720"/>
      <c r="G659" s="720"/>
      <c r="H659" s="720"/>
      <c r="I659" s="720"/>
      <c r="J659" s="720">
        <v>1</v>
      </c>
      <c r="K659" s="720">
        <v>396</v>
      </c>
      <c r="L659" s="720">
        <v>1</v>
      </c>
      <c r="M659" s="720">
        <v>396</v>
      </c>
      <c r="N659" s="720"/>
      <c r="O659" s="720"/>
      <c r="P659" s="745"/>
      <c r="Q659" s="721"/>
    </row>
    <row r="660" spans="1:17" ht="14.45" customHeight="1" x14ac:dyDescent="0.2">
      <c r="A660" s="715" t="s">
        <v>518</v>
      </c>
      <c r="B660" s="716" t="s">
        <v>4096</v>
      </c>
      <c r="C660" s="716" t="s">
        <v>3029</v>
      </c>
      <c r="D660" s="716" t="s">
        <v>4109</v>
      </c>
      <c r="E660" s="716" t="s">
        <v>4110</v>
      </c>
      <c r="F660" s="720">
        <v>1</v>
      </c>
      <c r="G660" s="720">
        <v>494</v>
      </c>
      <c r="H660" s="720"/>
      <c r="I660" s="720">
        <v>494</v>
      </c>
      <c r="J660" s="720"/>
      <c r="K660" s="720"/>
      <c r="L660" s="720"/>
      <c r="M660" s="720"/>
      <c r="N660" s="720"/>
      <c r="O660" s="720"/>
      <c r="P660" s="745"/>
      <c r="Q660" s="721"/>
    </row>
    <row r="661" spans="1:17" ht="14.45" customHeight="1" x14ac:dyDescent="0.2">
      <c r="A661" s="715" t="s">
        <v>518</v>
      </c>
      <c r="B661" s="716" t="s">
        <v>4096</v>
      </c>
      <c r="C661" s="716" t="s">
        <v>3029</v>
      </c>
      <c r="D661" s="716" t="s">
        <v>4111</v>
      </c>
      <c r="E661" s="716" t="s">
        <v>4112</v>
      </c>
      <c r="F661" s="720">
        <v>1</v>
      </c>
      <c r="G661" s="720">
        <v>512</v>
      </c>
      <c r="H661" s="720"/>
      <c r="I661" s="720">
        <v>512</v>
      </c>
      <c r="J661" s="720"/>
      <c r="K661" s="720"/>
      <c r="L661" s="720"/>
      <c r="M661" s="720"/>
      <c r="N661" s="720"/>
      <c r="O661" s="720"/>
      <c r="P661" s="745"/>
      <c r="Q661" s="721"/>
    </row>
    <row r="662" spans="1:17" ht="14.45" customHeight="1" x14ac:dyDescent="0.2">
      <c r="A662" s="715" t="s">
        <v>518</v>
      </c>
      <c r="B662" s="716" t="s">
        <v>4096</v>
      </c>
      <c r="C662" s="716" t="s">
        <v>3029</v>
      </c>
      <c r="D662" s="716" t="s">
        <v>4113</v>
      </c>
      <c r="E662" s="716" t="s">
        <v>4114</v>
      </c>
      <c r="F662" s="720">
        <v>1</v>
      </c>
      <c r="G662" s="720">
        <v>255</v>
      </c>
      <c r="H662" s="720"/>
      <c r="I662" s="720">
        <v>255</v>
      </c>
      <c r="J662" s="720"/>
      <c r="K662" s="720"/>
      <c r="L662" s="720"/>
      <c r="M662" s="720"/>
      <c r="N662" s="720"/>
      <c r="O662" s="720"/>
      <c r="P662" s="745"/>
      <c r="Q662" s="721"/>
    </row>
    <row r="663" spans="1:17" ht="14.45" customHeight="1" x14ac:dyDescent="0.2">
      <c r="A663" s="715" t="s">
        <v>518</v>
      </c>
      <c r="B663" s="716" t="s">
        <v>4096</v>
      </c>
      <c r="C663" s="716" t="s">
        <v>3029</v>
      </c>
      <c r="D663" s="716" t="s">
        <v>4115</v>
      </c>
      <c r="E663" s="716" t="s">
        <v>4116</v>
      </c>
      <c r="F663" s="720"/>
      <c r="G663" s="720"/>
      <c r="H663" s="720"/>
      <c r="I663" s="720"/>
      <c r="J663" s="720"/>
      <c r="K663" s="720"/>
      <c r="L663" s="720"/>
      <c r="M663" s="720"/>
      <c r="N663" s="720">
        <v>1</v>
      </c>
      <c r="O663" s="720">
        <v>135</v>
      </c>
      <c r="P663" s="745"/>
      <c r="Q663" s="721">
        <v>135</v>
      </c>
    </row>
    <row r="664" spans="1:17" ht="14.45" customHeight="1" x14ac:dyDescent="0.2">
      <c r="A664" s="715" t="s">
        <v>518</v>
      </c>
      <c r="B664" s="716" t="s">
        <v>4117</v>
      </c>
      <c r="C664" s="716" t="s">
        <v>3029</v>
      </c>
      <c r="D664" s="716" t="s">
        <v>3381</v>
      </c>
      <c r="E664" s="716" t="s">
        <v>3382</v>
      </c>
      <c r="F664" s="720">
        <v>4</v>
      </c>
      <c r="G664" s="720">
        <v>696</v>
      </c>
      <c r="H664" s="720"/>
      <c r="I664" s="720">
        <v>174</v>
      </c>
      <c r="J664" s="720"/>
      <c r="K664" s="720"/>
      <c r="L664" s="720"/>
      <c r="M664" s="720"/>
      <c r="N664" s="720"/>
      <c r="O664" s="720"/>
      <c r="P664" s="745"/>
      <c r="Q664" s="721"/>
    </row>
    <row r="665" spans="1:17" ht="14.45" customHeight="1" x14ac:dyDescent="0.2">
      <c r="A665" s="715" t="s">
        <v>518</v>
      </c>
      <c r="B665" s="716" t="s">
        <v>4117</v>
      </c>
      <c r="C665" s="716" t="s">
        <v>3029</v>
      </c>
      <c r="D665" s="716" t="s">
        <v>3976</v>
      </c>
      <c r="E665" s="716" t="s">
        <v>3977</v>
      </c>
      <c r="F665" s="720">
        <v>1</v>
      </c>
      <c r="G665" s="720">
        <v>5239</v>
      </c>
      <c r="H665" s="720"/>
      <c r="I665" s="720">
        <v>5239</v>
      </c>
      <c r="J665" s="720"/>
      <c r="K665" s="720"/>
      <c r="L665" s="720"/>
      <c r="M665" s="720"/>
      <c r="N665" s="720"/>
      <c r="O665" s="720"/>
      <c r="P665" s="745"/>
      <c r="Q665" s="721"/>
    </row>
    <row r="666" spans="1:17" ht="14.45" customHeight="1" x14ac:dyDescent="0.2">
      <c r="A666" s="715" t="s">
        <v>518</v>
      </c>
      <c r="B666" s="716" t="s">
        <v>4117</v>
      </c>
      <c r="C666" s="716" t="s">
        <v>3029</v>
      </c>
      <c r="D666" s="716" t="s">
        <v>4118</v>
      </c>
      <c r="E666" s="716" t="s">
        <v>4119</v>
      </c>
      <c r="F666" s="720"/>
      <c r="G666" s="720"/>
      <c r="H666" s="720"/>
      <c r="I666" s="720"/>
      <c r="J666" s="720">
        <v>1</v>
      </c>
      <c r="K666" s="720">
        <v>871</v>
      </c>
      <c r="L666" s="720">
        <v>1</v>
      </c>
      <c r="M666" s="720">
        <v>871</v>
      </c>
      <c r="N666" s="720"/>
      <c r="O666" s="720"/>
      <c r="P666" s="745"/>
      <c r="Q666" s="721"/>
    </row>
    <row r="667" spans="1:17" ht="14.45" customHeight="1" x14ac:dyDescent="0.2">
      <c r="A667" s="715" t="s">
        <v>518</v>
      </c>
      <c r="B667" s="716" t="s">
        <v>4117</v>
      </c>
      <c r="C667" s="716" t="s">
        <v>3029</v>
      </c>
      <c r="D667" s="716" t="s">
        <v>4047</v>
      </c>
      <c r="E667" s="716" t="s">
        <v>4048</v>
      </c>
      <c r="F667" s="720"/>
      <c r="G667" s="720"/>
      <c r="H667" s="720"/>
      <c r="I667" s="720"/>
      <c r="J667" s="720">
        <v>1</v>
      </c>
      <c r="K667" s="720">
        <v>1936</v>
      </c>
      <c r="L667" s="720">
        <v>1</v>
      </c>
      <c r="M667" s="720">
        <v>1936</v>
      </c>
      <c r="N667" s="720"/>
      <c r="O667" s="720"/>
      <c r="P667" s="745"/>
      <c r="Q667" s="721"/>
    </row>
    <row r="668" spans="1:17" ht="14.45" customHeight="1" x14ac:dyDescent="0.2">
      <c r="A668" s="715" t="s">
        <v>518</v>
      </c>
      <c r="B668" s="716" t="s">
        <v>4120</v>
      </c>
      <c r="C668" s="716" t="s">
        <v>3029</v>
      </c>
      <c r="D668" s="716" t="s">
        <v>3060</v>
      </c>
      <c r="E668" s="716" t="s">
        <v>3061</v>
      </c>
      <c r="F668" s="720"/>
      <c r="G668" s="720"/>
      <c r="H668" s="720"/>
      <c r="I668" s="720"/>
      <c r="J668" s="720">
        <v>1</v>
      </c>
      <c r="K668" s="720">
        <v>2150</v>
      </c>
      <c r="L668" s="720">
        <v>1</v>
      </c>
      <c r="M668" s="720">
        <v>2150</v>
      </c>
      <c r="N668" s="720"/>
      <c r="O668" s="720"/>
      <c r="P668" s="745"/>
      <c r="Q668" s="721"/>
    </row>
    <row r="669" spans="1:17" ht="14.45" customHeight="1" x14ac:dyDescent="0.2">
      <c r="A669" s="715" t="s">
        <v>518</v>
      </c>
      <c r="B669" s="716" t="s">
        <v>4120</v>
      </c>
      <c r="C669" s="716" t="s">
        <v>3029</v>
      </c>
      <c r="D669" s="716" t="s">
        <v>3064</v>
      </c>
      <c r="E669" s="716" t="s">
        <v>3065</v>
      </c>
      <c r="F669" s="720"/>
      <c r="G669" s="720"/>
      <c r="H669" s="720"/>
      <c r="I669" s="720"/>
      <c r="J669" s="720">
        <v>2</v>
      </c>
      <c r="K669" s="720">
        <v>4636</v>
      </c>
      <c r="L669" s="720">
        <v>1</v>
      </c>
      <c r="M669" s="720">
        <v>2318</v>
      </c>
      <c r="N669" s="720"/>
      <c r="O669" s="720"/>
      <c r="P669" s="745"/>
      <c r="Q669" s="721"/>
    </row>
    <row r="670" spans="1:17" ht="14.45" customHeight="1" x14ac:dyDescent="0.2">
      <c r="A670" s="715" t="s">
        <v>518</v>
      </c>
      <c r="B670" s="716" t="s">
        <v>4120</v>
      </c>
      <c r="C670" s="716" t="s">
        <v>3029</v>
      </c>
      <c r="D670" s="716" t="s">
        <v>4121</v>
      </c>
      <c r="E670" s="716" t="s">
        <v>4122</v>
      </c>
      <c r="F670" s="720"/>
      <c r="G670" s="720"/>
      <c r="H670" s="720"/>
      <c r="I670" s="720"/>
      <c r="J670" s="720"/>
      <c r="K670" s="720"/>
      <c r="L670" s="720"/>
      <c r="M670" s="720"/>
      <c r="N670" s="720">
        <v>1</v>
      </c>
      <c r="O670" s="720">
        <v>694</v>
      </c>
      <c r="P670" s="745"/>
      <c r="Q670" s="721">
        <v>694</v>
      </c>
    </row>
    <row r="671" spans="1:17" ht="14.45" customHeight="1" x14ac:dyDescent="0.2">
      <c r="A671" s="715" t="s">
        <v>518</v>
      </c>
      <c r="B671" s="716" t="s">
        <v>4120</v>
      </c>
      <c r="C671" s="716" t="s">
        <v>3029</v>
      </c>
      <c r="D671" s="716" t="s">
        <v>4123</v>
      </c>
      <c r="E671" s="716" t="s">
        <v>4124</v>
      </c>
      <c r="F671" s="720">
        <v>1</v>
      </c>
      <c r="G671" s="720">
        <v>3130</v>
      </c>
      <c r="H671" s="720"/>
      <c r="I671" s="720">
        <v>3130</v>
      </c>
      <c r="J671" s="720"/>
      <c r="K671" s="720"/>
      <c r="L671" s="720"/>
      <c r="M671" s="720"/>
      <c r="N671" s="720"/>
      <c r="O671" s="720"/>
      <c r="P671" s="745"/>
      <c r="Q671" s="721"/>
    </row>
    <row r="672" spans="1:17" ht="14.45" customHeight="1" x14ac:dyDescent="0.2">
      <c r="A672" s="715" t="s">
        <v>518</v>
      </c>
      <c r="B672" s="716" t="s">
        <v>4120</v>
      </c>
      <c r="C672" s="716" t="s">
        <v>3029</v>
      </c>
      <c r="D672" s="716" t="s">
        <v>4125</v>
      </c>
      <c r="E672" s="716" t="s">
        <v>4126</v>
      </c>
      <c r="F672" s="720"/>
      <c r="G672" s="720"/>
      <c r="H672" s="720"/>
      <c r="I672" s="720"/>
      <c r="J672" s="720">
        <v>1</v>
      </c>
      <c r="K672" s="720">
        <v>261</v>
      </c>
      <c r="L672" s="720">
        <v>1</v>
      </c>
      <c r="M672" s="720">
        <v>261</v>
      </c>
      <c r="N672" s="720"/>
      <c r="O672" s="720"/>
      <c r="P672" s="745"/>
      <c r="Q672" s="721"/>
    </row>
    <row r="673" spans="1:17" ht="14.45" customHeight="1" x14ac:dyDescent="0.2">
      <c r="A673" s="715" t="s">
        <v>518</v>
      </c>
      <c r="B673" s="716" t="s">
        <v>4120</v>
      </c>
      <c r="C673" s="716" t="s">
        <v>3029</v>
      </c>
      <c r="D673" s="716" t="s">
        <v>4011</v>
      </c>
      <c r="E673" s="716" t="s">
        <v>4012</v>
      </c>
      <c r="F673" s="720"/>
      <c r="G673" s="720"/>
      <c r="H673" s="720"/>
      <c r="I673" s="720"/>
      <c r="J673" s="720">
        <v>1</v>
      </c>
      <c r="K673" s="720">
        <v>868</v>
      </c>
      <c r="L673" s="720">
        <v>1</v>
      </c>
      <c r="M673" s="720">
        <v>868</v>
      </c>
      <c r="N673" s="720"/>
      <c r="O673" s="720"/>
      <c r="P673" s="745"/>
      <c r="Q673" s="721"/>
    </row>
    <row r="674" spans="1:17" ht="14.45" customHeight="1" x14ac:dyDescent="0.2">
      <c r="A674" s="715" t="s">
        <v>518</v>
      </c>
      <c r="B674" s="716" t="s">
        <v>4120</v>
      </c>
      <c r="C674" s="716" t="s">
        <v>3029</v>
      </c>
      <c r="D674" s="716" t="s">
        <v>4013</v>
      </c>
      <c r="E674" s="716" t="s">
        <v>4014</v>
      </c>
      <c r="F674" s="720">
        <v>1</v>
      </c>
      <c r="G674" s="720">
        <v>592</v>
      </c>
      <c r="H674" s="720">
        <v>0.99831365935919059</v>
      </c>
      <c r="I674" s="720">
        <v>592</v>
      </c>
      <c r="J674" s="720">
        <v>1</v>
      </c>
      <c r="K674" s="720">
        <v>593</v>
      </c>
      <c r="L674" s="720">
        <v>1</v>
      </c>
      <c r="M674" s="720">
        <v>593</v>
      </c>
      <c r="N674" s="720">
        <v>1</v>
      </c>
      <c r="O674" s="720">
        <v>595</v>
      </c>
      <c r="P674" s="745">
        <v>1.0033726812816188</v>
      </c>
      <c r="Q674" s="721">
        <v>595</v>
      </c>
    </row>
    <row r="675" spans="1:17" ht="14.45" customHeight="1" x14ac:dyDescent="0.2">
      <c r="A675" s="715" t="s">
        <v>518</v>
      </c>
      <c r="B675" s="716" t="s">
        <v>4120</v>
      </c>
      <c r="C675" s="716" t="s">
        <v>3029</v>
      </c>
      <c r="D675" s="716" t="s">
        <v>3143</v>
      </c>
      <c r="E675" s="716" t="s">
        <v>3144</v>
      </c>
      <c r="F675" s="720">
        <v>1</v>
      </c>
      <c r="G675" s="720">
        <v>445</v>
      </c>
      <c r="H675" s="720"/>
      <c r="I675" s="720">
        <v>445</v>
      </c>
      <c r="J675" s="720"/>
      <c r="K675" s="720"/>
      <c r="L675" s="720"/>
      <c r="M675" s="720"/>
      <c r="N675" s="720"/>
      <c r="O675" s="720"/>
      <c r="P675" s="745"/>
      <c r="Q675" s="721"/>
    </row>
    <row r="676" spans="1:17" ht="14.45" customHeight="1" x14ac:dyDescent="0.2">
      <c r="A676" s="715" t="s">
        <v>518</v>
      </c>
      <c r="B676" s="716" t="s">
        <v>4120</v>
      </c>
      <c r="C676" s="716" t="s">
        <v>3029</v>
      </c>
      <c r="D676" s="716" t="s">
        <v>4127</v>
      </c>
      <c r="E676" s="716" t="s">
        <v>4128</v>
      </c>
      <c r="F676" s="720">
        <v>1</v>
      </c>
      <c r="G676" s="720">
        <v>767</v>
      </c>
      <c r="H676" s="720">
        <v>0.99869791666666663</v>
      </c>
      <c r="I676" s="720">
        <v>767</v>
      </c>
      <c r="J676" s="720">
        <v>1</v>
      </c>
      <c r="K676" s="720">
        <v>768</v>
      </c>
      <c r="L676" s="720">
        <v>1</v>
      </c>
      <c r="M676" s="720">
        <v>768</v>
      </c>
      <c r="N676" s="720">
        <v>4</v>
      </c>
      <c r="O676" s="720">
        <v>3080</v>
      </c>
      <c r="P676" s="745">
        <v>4.010416666666667</v>
      </c>
      <c r="Q676" s="721">
        <v>770</v>
      </c>
    </row>
    <row r="677" spans="1:17" ht="14.45" customHeight="1" x14ac:dyDescent="0.2">
      <c r="A677" s="715" t="s">
        <v>518</v>
      </c>
      <c r="B677" s="716" t="s">
        <v>4120</v>
      </c>
      <c r="C677" s="716" t="s">
        <v>3029</v>
      </c>
      <c r="D677" s="716" t="s">
        <v>3155</v>
      </c>
      <c r="E677" s="716" t="s">
        <v>3156</v>
      </c>
      <c r="F677" s="720"/>
      <c r="G677" s="720"/>
      <c r="H677" s="720"/>
      <c r="I677" s="720"/>
      <c r="J677" s="720"/>
      <c r="K677" s="720"/>
      <c r="L677" s="720"/>
      <c r="M677" s="720"/>
      <c r="N677" s="720">
        <v>1</v>
      </c>
      <c r="O677" s="720">
        <v>376</v>
      </c>
      <c r="P677" s="745"/>
      <c r="Q677" s="721">
        <v>376</v>
      </c>
    </row>
    <row r="678" spans="1:17" ht="14.45" customHeight="1" x14ac:dyDescent="0.2">
      <c r="A678" s="715" t="s">
        <v>518</v>
      </c>
      <c r="B678" s="716" t="s">
        <v>4120</v>
      </c>
      <c r="C678" s="716" t="s">
        <v>3029</v>
      </c>
      <c r="D678" s="716" t="s">
        <v>4031</v>
      </c>
      <c r="E678" s="716" t="s">
        <v>4032</v>
      </c>
      <c r="F678" s="720">
        <v>1</v>
      </c>
      <c r="G678" s="720">
        <v>362</v>
      </c>
      <c r="H678" s="720">
        <v>0.99724517906336085</v>
      </c>
      <c r="I678" s="720">
        <v>362</v>
      </c>
      <c r="J678" s="720">
        <v>1</v>
      </c>
      <c r="K678" s="720">
        <v>363</v>
      </c>
      <c r="L678" s="720">
        <v>1</v>
      </c>
      <c r="M678" s="720">
        <v>363</v>
      </c>
      <c r="N678" s="720"/>
      <c r="O678" s="720"/>
      <c r="P678" s="745"/>
      <c r="Q678" s="721"/>
    </row>
    <row r="679" spans="1:17" ht="14.45" customHeight="1" x14ac:dyDescent="0.2">
      <c r="A679" s="715" t="s">
        <v>518</v>
      </c>
      <c r="B679" s="716" t="s">
        <v>4120</v>
      </c>
      <c r="C679" s="716" t="s">
        <v>3029</v>
      </c>
      <c r="D679" s="716" t="s">
        <v>4043</v>
      </c>
      <c r="E679" s="716" t="s">
        <v>4044</v>
      </c>
      <c r="F679" s="720"/>
      <c r="G679" s="720"/>
      <c r="H679" s="720"/>
      <c r="I679" s="720"/>
      <c r="J679" s="720">
        <v>1</v>
      </c>
      <c r="K679" s="720">
        <v>4467</v>
      </c>
      <c r="L679" s="720">
        <v>1</v>
      </c>
      <c r="M679" s="720">
        <v>4467</v>
      </c>
      <c r="N679" s="720">
        <v>1</v>
      </c>
      <c r="O679" s="720">
        <v>4494</v>
      </c>
      <c r="P679" s="745">
        <v>1.0060443250503694</v>
      </c>
      <c r="Q679" s="721">
        <v>4494</v>
      </c>
    </row>
    <row r="680" spans="1:17" ht="14.45" customHeight="1" x14ac:dyDescent="0.2">
      <c r="A680" s="715" t="s">
        <v>518</v>
      </c>
      <c r="B680" s="716" t="s">
        <v>4120</v>
      </c>
      <c r="C680" s="716" t="s">
        <v>3029</v>
      </c>
      <c r="D680" s="716" t="s">
        <v>4054</v>
      </c>
      <c r="E680" s="716" t="s">
        <v>4055</v>
      </c>
      <c r="F680" s="720"/>
      <c r="G680" s="720"/>
      <c r="H680" s="720"/>
      <c r="I680" s="720"/>
      <c r="J680" s="720">
        <v>2</v>
      </c>
      <c r="K680" s="720">
        <v>6294</v>
      </c>
      <c r="L680" s="720">
        <v>1</v>
      </c>
      <c r="M680" s="720">
        <v>3147</v>
      </c>
      <c r="N680" s="720"/>
      <c r="O680" s="720"/>
      <c r="P680" s="745"/>
      <c r="Q680" s="721"/>
    </row>
    <row r="681" spans="1:17" ht="14.45" customHeight="1" x14ac:dyDescent="0.2">
      <c r="A681" s="715" t="s">
        <v>518</v>
      </c>
      <c r="B681" s="716" t="s">
        <v>4129</v>
      </c>
      <c r="C681" s="716" t="s">
        <v>3029</v>
      </c>
      <c r="D681" s="716" t="s">
        <v>3982</v>
      </c>
      <c r="E681" s="716" t="s">
        <v>3983</v>
      </c>
      <c r="F681" s="720"/>
      <c r="G681" s="720"/>
      <c r="H681" s="720"/>
      <c r="I681" s="720"/>
      <c r="J681" s="720">
        <v>3</v>
      </c>
      <c r="K681" s="720">
        <v>27960</v>
      </c>
      <c r="L681" s="720">
        <v>1</v>
      </c>
      <c r="M681" s="720">
        <v>9320</v>
      </c>
      <c r="N681" s="720"/>
      <c r="O681" s="720"/>
      <c r="P681" s="745"/>
      <c r="Q681" s="721"/>
    </row>
    <row r="682" spans="1:17" ht="14.45" customHeight="1" x14ac:dyDescent="0.2">
      <c r="A682" s="715" t="s">
        <v>518</v>
      </c>
      <c r="B682" s="716" t="s">
        <v>4129</v>
      </c>
      <c r="C682" s="716" t="s">
        <v>3029</v>
      </c>
      <c r="D682" s="716" t="s">
        <v>4130</v>
      </c>
      <c r="E682" s="716" t="s">
        <v>4131</v>
      </c>
      <c r="F682" s="720"/>
      <c r="G682" s="720"/>
      <c r="H682" s="720"/>
      <c r="I682" s="720"/>
      <c r="J682" s="720"/>
      <c r="K682" s="720"/>
      <c r="L682" s="720"/>
      <c r="M682" s="720"/>
      <c r="N682" s="720">
        <v>14</v>
      </c>
      <c r="O682" s="720">
        <v>16226</v>
      </c>
      <c r="P682" s="745"/>
      <c r="Q682" s="721">
        <v>1159</v>
      </c>
    </row>
    <row r="683" spans="1:17" ht="14.45" customHeight="1" thickBot="1" x14ac:dyDescent="0.25">
      <c r="A683" s="722" t="s">
        <v>518</v>
      </c>
      <c r="B683" s="723" t="s">
        <v>4129</v>
      </c>
      <c r="C683" s="723" t="s">
        <v>3029</v>
      </c>
      <c r="D683" s="723" t="s">
        <v>4039</v>
      </c>
      <c r="E683" s="723" t="s">
        <v>4040</v>
      </c>
      <c r="F683" s="727">
        <v>1</v>
      </c>
      <c r="G683" s="727">
        <v>624</v>
      </c>
      <c r="H683" s="727"/>
      <c r="I683" s="727">
        <v>624</v>
      </c>
      <c r="J683" s="727"/>
      <c r="K683" s="727"/>
      <c r="L683" s="727"/>
      <c r="M683" s="727"/>
      <c r="N683" s="727"/>
      <c r="O683" s="727"/>
      <c r="P683" s="735"/>
      <c r="Q683" s="728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0199E329-0EB4-4DC3-9764-7CF3357FD6EC}"/>
  </hyperlinks>
  <pageMargins left="0.25" right="0.25" top="0.75" bottom="0.75" header="0.3" footer="0.3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28515625" defaultRowHeight="14.45" customHeight="1" outlineLevelRow="1" outlineLevelCol="1" x14ac:dyDescent="0.2"/>
  <cols>
    <col min="1" max="1" width="29.140625" style="333" customWidth="1"/>
    <col min="2" max="2" width="7.85546875" style="333" hidden="1" customWidth="1" outlineLevel="1"/>
    <col min="3" max="3" width="7.85546875" style="333" customWidth="1" collapsed="1"/>
    <col min="4" max="4" width="7.85546875" style="333" customWidth="1"/>
    <col min="5" max="5" width="7.85546875" style="333" hidden="1" customWidth="1" outlineLevel="1"/>
    <col min="6" max="6" width="7.85546875" style="341" customWidth="1" collapsed="1"/>
    <col min="7" max="7" width="7.85546875" style="333" hidden="1" customWidth="1" outlineLevel="1"/>
    <col min="8" max="8" width="7.85546875" style="333" customWidth="1" collapsed="1"/>
    <col min="9" max="9" width="7.85546875" style="333" customWidth="1"/>
    <col min="10" max="10" width="7.85546875" style="333" hidden="1" customWidth="1" outlineLevel="1"/>
    <col min="11" max="11" width="7.85546875" style="342" customWidth="1" collapsed="1"/>
    <col min="12" max="13" width="7.85546875" style="333" hidden="1" customWidth="1"/>
    <col min="14" max="15" width="7.85546875" style="333" customWidth="1"/>
    <col min="16" max="16" width="0" style="333" hidden="1" customWidth="1" outlineLevel="1"/>
    <col min="17" max="17" width="9.5703125" style="333" hidden="1" customWidth="1" outlineLevel="1"/>
    <col min="18" max="18" width="9.28515625" style="333" collapsed="1"/>
    <col min="19" max="16384" width="9.28515625" style="333"/>
  </cols>
  <sheetData>
    <row r="1" spans="1:17" ht="18.600000000000001" customHeight="1" thickBot="1" x14ac:dyDescent="0.35">
      <c r="A1" s="622" t="s">
        <v>121</v>
      </c>
      <c r="B1" s="622"/>
      <c r="C1" s="622"/>
      <c r="D1" s="622"/>
      <c r="E1" s="622"/>
      <c r="F1" s="622"/>
      <c r="G1" s="622"/>
      <c r="H1" s="622"/>
      <c r="I1" s="622"/>
      <c r="J1" s="622"/>
      <c r="K1" s="622"/>
      <c r="L1" s="622"/>
      <c r="M1" s="622"/>
      <c r="N1" s="622"/>
      <c r="O1" s="622"/>
      <c r="P1" s="622"/>
      <c r="Q1" s="622"/>
    </row>
    <row r="2" spans="1:17" ht="14.45" customHeight="1" thickBot="1" x14ac:dyDescent="0.25">
      <c r="A2" s="666" t="s">
        <v>305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415"/>
    </row>
    <row r="3" spans="1:17" ht="14.45" customHeight="1" thickBot="1" x14ac:dyDescent="0.25">
      <c r="A3" s="612" t="s">
        <v>56</v>
      </c>
      <c r="B3" s="589" t="s">
        <v>57</v>
      </c>
      <c r="C3" s="590"/>
      <c r="D3" s="590"/>
      <c r="E3" s="591"/>
      <c r="F3" s="592"/>
      <c r="G3" s="589" t="s">
        <v>217</v>
      </c>
      <c r="H3" s="590"/>
      <c r="I3" s="590"/>
      <c r="J3" s="591"/>
      <c r="K3" s="592"/>
      <c r="L3" s="107"/>
      <c r="M3" s="108"/>
      <c r="N3" s="107"/>
      <c r="O3" s="109"/>
    </row>
    <row r="4" spans="1:17" ht="14.45" customHeight="1" thickBot="1" x14ac:dyDescent="0.25">
      <c r="A4" s="613"/>
      <c r="B4" s="110">
        <v>2015</v>
      </c>
      <c r="C4" s="111">
        <v>2018</v>
      </c>
      <c r="D4" s="111">
        <v>2019</v>
      </c>
      <c r="E4" s="398" t="s">
        <v>234</v>
      </c>
      <c r="F4" s="399" t="s">
        <v>2</v>
      </c>
      <c r="G4" s="110">
        <v>2015</v>
      </c>
      <c r="H4" s="111">
        <v>2018</v>
      </c>
      <c r="I4" s="111">
        <v>2019</v>
      </c>
      <c r="J4" s="111" t="s">
        <v>234</v>
      </c>
      <c r="K4" s="112" t="s">
        <v>2</v>
      </c>
      <c r="L4" s="107"/>
      <c r="M4" s="107"/>
      <c r="N4" s="113" t="s">
        <v>58</v>
      </c>
      <c r="O4" s="114" t="s">
        <v>59</v>
      </c>
      <c r="P4" s="113" t="s">
        <v>243</v>
      </c>
      <c r="Q4" s="114" t="s">
        <v>244</v>
      </c>
    </row>
    <row r="5" spans="1:17" ht="14.45" hidden="1" customHeight="1" outlineLevel="1" x14ac:dyDescent="0.2">
      <c r="A5" s="420" t="s">
        <v>152</v>
      </c>
      <c r="B5" s="105">
        <v>411.42200000000003</v>
      </c>
      <c r="C5" s="100">
        <v>252.35599999999999</v>
      </c>
      <c r="D5" s="100">
        <v>270.29000000000002</v>
      </c>
      <c r="E5" s="404">
        <f>IF(OR(D5=0,B5=0),"",D5/B5)</f>
        <v>0.65696535430774239</v>
      </c>
      <c r="F5" s="115">
        <f>IF(OR(D5=0,C5=0),"",D5/C5)</f>
        <v>1.0710662714577819</v>
      </c>
      <c r="G5" s="116">
        <v>46</v>
      </c>
      <c r="H5" s="100">
        <v>30</v>
      </c>
      <c r="I5" s="100">
        <v>37</v>
      </c>
      <c r="J5" s="404">
        <f>IF(OR(I5=0,G5=0),"",I5/G5)</f>
        <v>0.80434782608695654</v>
      </c>
      <c r="K5" s="117">
        <f>IF(OR(I5=0,H5=0),"",I5/H5)</f>
        <v>1.2333333333333334</v>
      </c>
      <c r="L5" s="107"/>
      <c r="M5" s="107"/>
      <c r="N5" s="7">
        <f>D5-C5</f>
        <v>17.934000000000026</v>
      </c>
      <c r="O5" s="8">
        <f>I5-H5</f>
        <v>7</v>
      </c>
      <c r="P5" s="7">
        <f>D5-B5</f>
        <v>-141.13200000000001</v>
      </c>
      <c r="Q5" s="8">
        <f>I5-G5</f>
        <v>-9</v>
      </c>
    </row>
    <row r="6" spans="1:17" ht="14.45" hidden="1" customHeight="1" outlineLevel="1" x14ac:dyDescent="0.2">
      <c r="A6" s="421" t="s">
        <v>153</v>
      </c>
      <c r="B6" s="106">
        <v>29.355</v>
      </c>
      <c r="C6" s="99">
        <v>34.636000000000003</v>
      </c>
      <c r="D6" s="99">
        <v>43.079000000000001</v>
      </c>
      <c r="E6" s="404">
        <f t="shared" ref="E6:E12" si="0">IF(OR(D6=0,B6=0),"",D6/B6)</f>
        <v>1.4675183103389542</v>
      </c>
      <c r="F6" s="115">
        <f t="shared" ref="F6:F12" si="1">IF(OR(D6=0,C6=0),"",D6/C6)</f>
        <v>1.2437637140547406</v>
      </c>
      <c r="G6" s="119">
        <v>4</v>
      </c>
      <c r="H6" s="99">
        <v>6</v>
      </c>
      <c r="I6" s="99">
        <v>6</v>
      </c>
      <c r="J6" s="405">
        <f t="shared" ref="J6:J12" si="2">IF(OR(I6=0,G6=0),"",I6/G6)</f>
        <v>1.5</v>
      </c>
      <c r="K6" s="120">
        <f t="shared" ref="K6:K12" si="3">IF(OR(I6=0,H6=0),"",I6/H6)</f>
        <v>1</v>
      </c>
      <c r="L6" s="107"/>
      <c r="M6" s="107"/>
      <c r="N6" s="5">
        <f t="shared" ref="N6:N13" si="4">D6-C6</f>
        <v>8.4429999999999978</v>
      </c>
      <c r="O6" s="6">
        <f t="shared" ref="O6:O13" si="5">I6-H6</f>
        <v>0</v>
      </c>
      <c r="P6" s="5">
        <f t="shared" ref="P6:P13" si="6">D6-B6</f>
        <v>13.724</v>
      </c>
      <c r="Q6" s="6">
        <f t="shared" ref="Q6:Q13" si="7">I6-G6</f>
        <v>2</v>
      </c>
    </row>
    <row r="7" spans="1:17" ht="14.45" hidden="1" customHeight="1" outlineLevel="1" x14ac:dyDescent="0.2">
      <c r="A7" s="421" t="s">
        <v>154</v>
      </c>
      <c r="B7" s="106">
        <v>92.811999999999998</v>
      </c>
      <c r="C7" s="99">
        <v>154.16200000000001</v>
      </c>
      <c r="D7" s="99">
        <v>78.531000000000006</v>
      </c>
      <c r="E7" s="404">
        <f t="shared" si="0"/>
        <v>0.84612981080032768</v>
      </c>
      <c r="F7" s="115">
        <f t="shared" si="1"/>
        <v>0.50940569011818737</v>
      </c>
      <c r="G7" s="119">
        <v>11</v>
      </c>
      <c r="H7" s="99">
        <v>17</v>
      </c>
      <c r="I7" s="99">
        <v>11</v>
      </c>
      <c r="J7" s="405">
        <f t="shared" si="2"/>
        <v>1</v>
      </c>
      <c r="K7" s="120">
        <f t="shared" si="3"/>
        <v>0.6470588235294118</v>
      </c>
      <c r="L7" s="107"/>
      <c r="M7" s="107"/>
      <c r="N7" s="5">
        <f t="shared" si="4"/>
        <v>-75.631</v>
      </c>
      <c r="O7" s="6">
        <f t="shared" si="5"/>
        <v>-6</v>
      </c>
      <c r="P7" s="5">
        <f t="shared" si="6"/>
        <v>-14.280999999999992</v>
      </c>
      <c r="Q7" s="6">
        <f t="shared" si="7"/>
        <v>0</v>
      </c>
    </row>
    <row r="8" spans="1:17" ht="14.45" hidden="1" customHeight="1" outlineLevel="1" x14ac:dyDescent="0.2">
      <c r="A8" s="421" t="s">
        <v>155</v>
      </c>
      <c r="B8" s="106">
        <v>49.621000000000002</v>
      </c>
      <c r="C8" s="99">
        <v>36.762999999999998</v>
      </c>
      <c r="D8" s="99">
        <v>2.3929999999999998</v>
      </c>
      <c r="E8" s="404">
        <f t="shared" si="0"/>
        <v>4.8225549666471849E-2</v>
      </c>
      <c r="F8" s="115">
        <f t="shared" si="1"/>
        <v>6.509262029758181E-2</v>
      </c>
      <c r="G8" s="119">
        <v>5</v>
      </c>
      <c r="H8" s="99">
        <v>2</v>
      </c>
      <c r="I8" s="99">
        <v>2</v>
      </c>
      <c r="J8" s="405">
        <f t="shared" si="2"/>
        <v>0.4</v>
      </c>
      <c r="K8" s="120">
        <f t="shared" si="3"/>
        <v>1</v>
      </c>
      <c r="L8" s="107"/>
      <c r="M8" s="107"/>
      <c r="N8" s="5">
        <f t="shared" si="4"/>
        <v>-34.369999999999997</v>
      </c>
      <c r="O8" s="6">
        <f t="shared" si="5"/>
        <v>0</v>
      </c>
      <c r="P8" s="5">
        <f t="shared" si="6"/>
        <v>-47.228000000000002</v>
      </c>
      <c r="Q8" s="6">
        <f t="shared" si="7"/>
        <v>-3</v>
      </c>
    </row>
    <row r="9" spans="1:17" ht="14.45" hidden="1" customHeight="1" outlineLevel="1" x14ac:dyDescent="0.2">
      <c r="A9" s="421" t="s">
        <v>156</v>
      </c>
      <c r="B9" s="106">
        <v>0</v>
      </c>
      <c r="C9" s="99">
        <v>0</v>
      </c>
      <c r="D9" s="99">
        <v>0</v>
      </c>
      <c r="E9" s="404" t="str">
        <f t="shared" si="0"/>
        <v/>
      </c>
      <c r="F9" s="115" t="str">
        <f t="shared" si="1"/>
        <v/>
      </c>
      <c r="G9" s="119">
        <v>0</v>
      </c>
      <c r="H9" s="99">
        <v>0</v>
      </c>
      <c r="I9" s="99">
        <v>0</v>
      </c>
      <c r="J9" s="405" t="str">
        <f t="shared" si="2"/>
        <v/>
      </c>
      <c r="K9" s="120" t="str">
        <f t="shared" si="3"/>
        <v/>
      </c>
      <c r="L9" s="107"/>
      <c r="M9" s="107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5" hidden="1" customHeight="1" outlineLevel="1" x14ac:dyDescent="0.2">
      <c r="A10" s="421" t="s">
        <v>157</v>
      </c>
      <c r="B10" s="106">
        <v>51.255000000000003</v>
      </c>
      <c r="C10" s="99">
        <v>138.33799999999999</v>
      </c>
      <c r="D10" s="99">
        <v>63.682000000000002</v>
      </c>
      <c r="E10" s="404">
        <f t="shared" si="0"/>
        <v>1.2424543946932007</v>
      </c>
      <c r="F10" s="115">
        <f t="shared" si="1"/>
        <v>0.46033627781231479</v>
      </c>
      <c r="G10" s="119">
        <v>6</v>
      </c>
      <c r="H10" s="99">
        <v>12</v>
      </c>
      <c r="I10" s="99">
        <v>11</v>
      </c>
      <c r="J10" s="405">
        <f t="shared" si="2"/>
        <v>1.8333333333333333</v>
      </c>
      <c r="K10" s="120">
        <f t="shared" si="3"/>
        <v>0.91666666666666663</v>
      </c>
      <c r="L10" s="107"/>
      <c r="M10" s="107"/>
      <c r="N10" s="5">
        <f t="shared" si="4"/>
        <v>-74.655999999999992</v>
      </c>
      <c r="O10" s="6">
        <f t="shared" si="5"/>
        <v>-1</v>
      </c>
      <c r="P10" s="5">
        <f t="shared" si="6"/>
        <v>12.427</v>
      </c>
      <c r="Q10" s="6">
        <f t="shared" si="7"/>
        <v>5</v>
      </c>
    </row>
    <row r="11" spans="1:17" ht="14.45" hidden="1" customHeight="1" outlineLevel="1" x14ac:dyDescent="0.2">
      <c r="A11" s="421" t="s">
        <v>158</v>
      </c>
      <c r="B11" s="106">
        <v>25.295999999999999</v>
      </c>
      <c r="C11" s="99">
        <v>50.402000000000001</v>
      </c>
      <c r="D11" s="99">
        <v>20.091999999999999</v>
      </c>
      <c r="E11" s="404">
        <f t="shared" si="0"/>
        <v>0.79427577482605938</v>
      </c>
      <c r="F11" s="115">
        <f t="shared" si="1"/>
        <v>0.39863497480258714</v>
      </c>
      <c r="G11" s="119">
        <v>2</v>
      </c>
      <c r="H11" s="99">
        <v>5</v>
      </c>
      <c r="I11" s="99">
        <v>5</v>
      </c>
      <c r="J11" s="405">
        <f t="shared" si="2"/>
        <v>2.5</v>
      </c>
      <c r="K11" s="120">
        <f t="shared" si="3"/>
        <v>1</v>
      </c>
      <c r="L11" s="107"/>
      <c r="M11" s="107"/>
      <c r="N11" s="5">
        <f t="shared" si="4"/>
        <v>-30.310000000000002</v>
      </c>
      <c r="O11" s="6">
        <f t="shared" si="5"/>
        <v>0</v>
      </c>
      <c r="P11" s="5">
        <f t="shared" si="6"/>
        <v>-5.2040000000000006</v>
      </c>
      <c r="Q11" s="6">
        <f t="shared" si="7"/>
        <v>3</v>
      </c>
    </row>
    <row r="12" spans="1:17" ht="14.45" hidden="1" customHeight="1" outlineLevel="1" thickBot="1" x14ac:dyDescent="0.25">
      <c r="A12" s="422" t="s">
        <v>186</v>
      </c>
      <c r="B12" s="224">
        <v>0</v>
      </c>
      <c r="C12" s="225">
        <v>0</v>
      </c>
      <c r="D12" s="225">
        <v>0</v>
      </c>
      <c r="E12" s="404" t="str">
        <f t="shared" si="0"/>
        <v/>
      </c>
      <c r="F12" s="115" t="str">
        <f t="shared" si="1"/>
        <v/>
      </c>
      <c r="G12" s="227">
        <v>0</v>
      </c>
      <c r="H12" s="225">
        <v>0</v>
      </c>
      <c r="I12" s="225">
        <v>0</v>
      </c>
      <c r="J12" s="406" t="str">
        <f t="shared" si="2"/>
        <v/>
      </c>
      <c r="K12" s="228" t="str">
        <f t="shared" si="3"/>
        <v/>
      </c>
      <c r="L12" s="107"/>
      <c r="M12" s="107"/>
      <c r="N12" s="229">
        <f t="shared" si="4"/>
        <v>0</v>
      </c>
      <c r="O12" s="230">
        <f t="shared" si="5"/>
        <v>0</v>
      </c>
      <c r="P12" s="229">
        <f t="shared" si="6"/>
        <v>0</v>
      </c>
      <c r="Q12" s="230">
        <f t="shared" si="7"/>
        <v>0</v>
      </c>
    </row>
    <row r="13" spans="1:17" ht="14.45" customHeight="1" collapsed="1" thickBot="1" x14ac:dyDescent="0.25">
      <c r="A13" s="103" t="s">
        <v>3</v>
      </c>
      <c r="B13" s="101">
        <f>SUM(B5:B12)</f>
        <v>659.76100000000008</v>
      </c>
      <c r="C13" s="102">
        <f>SUM(C5:C12)</f>
        <v>666.65700000000004</v>
      </c>
      <c r="D13" s="102">
        <f>SUM(D5:D12)</f>
        <v>478.06700000000001</v>
      </c>
      <c r="E13" s="400">
        <f>IF(OR(D13=0,B13=0),0,D13/B13)</f>
        <v>0.72460633471817815</v>
      </c>
      <c r="F13" s="121">
        <f>IF(OR(D13=0,C13=0),0,D13/C13)</f>
        <v>0.71711089810802253</v>
      </c>
      <c r="G13" s="122">
        <f>SUM(G5:G12)</f>
        <v>74</v>
      </c>
      <c r="H13" s="102">
        <f>SUM(H5:H12)</f>
        <v>72</v>
      </c>
      <c r="I13" s="102">
        <f>SUM(I5:I12)</f>
        <v>72</v>
      </c>
      <c r="J13" s="400">
        <f>IF(OR(I13=0,G13=0),0,I13/G13)</f>
        <v>0.97297297297297303</v>
      </c>
      <c r="K13" s="123">
        <f>IF(OR(I13=0,H13=0),0,I13/H13)</f>
        <v>1</v>
      </c>
      <c r="L13" s="107"/>
      <c r="M13" s="107"/>
      <c r="N13" s="113">
        <f t="shared" si="4"/>
        <v>-188.59000000000003</v>
      </c>
      <c r="O13" s="124">
        <f t="shared" si="5"/>
        <v>0</v>
      </c>
      <c r="P13" s="113">
        <f t="shared" si="6"/>
        <v>-181.69400000000007</v>
      </c>
      <c r="Q13" s="124">
        <f t="shared" si="7"/>
        <v>-2</v>
      </c>
    </row>
    <row r="14" spans="1:17" ht="14.45" customHeight="1" x14ac:dyDescent="0.2">
      <c r="A14" s="125"/>
      <c r="B14" s="614"/>
      <c r="C14" s="614"/>
      <c r="D14" s="614"/>
      <c r="E14" s="615"/>
      <c r="F14" s="614"/>
      <c r="G14" s="614"/>
      <c r="H14" s="614"/>
      <c r="I14" s="614"/>
      <c r="J14" s="615"/>
      <c r="K14" s="614"/>
      <c r="L14" s="107"/>
      <c r="M14" s="107"/>
      <c r="N14" s="107"/>
      <c r="O14" s="109"/>
      <c r="P14" s="107"/>
      <c r="Q14" s="109"/>
    </row>
    <row r="15" spans="1:17" ht="14.45" customHeight="1" thickBot="1" x14ac:dyDescent="0.25">
      <c r="A15" s="125"/>
      <c r="B15" s="334"/>
      <c r="C15" s="335"/>
      <c r="D15" s="335"/>
      <c r="E15" s="335"/>
      <c r="F15" s="335"/>
      <c r="G15" s="334"/>
      <c r="H15" s="335"/>
      <c r="I15" s="335"/>
      <c r="J15" s="335"/>
      <c r="K15" s="335"/>
      <c r="L15" s="107"/>
      <c r="M15" s="107"/>
      <c r="N15" s="107"/>
      <c r="O15" s="109"/>
      <c r="P15" s="107"/>
      <c r="Q15" s="109"/>
    </row>
    <row r="16" spans="1:17" ht="14.45" customHeight="1" thickBot="1" x14ac:dyDescent="0.25">
      <c r="A16" s="616" t="s">
        <v>235</v>
      </c>
      <c r="B16" s="618" t="s">
        <v>57</v>
      </c>
      <c r="C16" s="619"/>
      <c r="D16" s="619"/>
      <c r="E16" s="620"/>
      <c r="F16" s="621"/>
      <c r="G16" s="618" t="s">
        <v>217</v>
      </c>
      <c r="H16" s="619"/>
      <c r="I16" s="619"/>
      <c r="J16" s="620"/>
      <c r="K16" s="621"/>
      <c r="L16" s="637" t="s">
        <v>162</v>
      </c>
      <c r="M16" s="638"/>
      <c r="N16" s="141"/>
      <c r="O16" s="141"/>
      <c r="P16" s="141"/>
      <c r="Q16" s="141"/>
    </row>
    <row r="17" spans="1:17" ht="14.45" customHeight="1" thickBot="1" x14ac:dyDescent="0.25">
      <c r="A17" s="617"/>
      <c r="B17" s="126">
        <v>2015</v>
      </c>
      <c r="C17" s="127">
        <v>2018</v>
      </c>
      <c r="D17" s="127">
        <v>2019</v>
      </c>
      <c r="E17" s="127" t="s">
        <v>234</v>
      </c>
      <c r="F17" s="128" t="s">
        <v>2</v>
      </c>
      <c r="G17" s="126">
        <v>2015</v>
      </c>
      <c r="H17" s="127">
        <v>2018</v>
      </c>
      <c r="I17" s="127">
        <v>2019</v>
      </c>
      <c r="J17" s="127" t="s">
        <v>234</v>
      </c>
      <c r="K17" s="128" t="s">
        <v>2</v>
      </c>
      <c r="L17" s="608" t="s">
        <v>163</v>
      </c>
      <c r="M17" s="609"/>
      <c r="N17" s="129" t="s">
        <v>58</v>
      </c>
      <c r="O17" s="130" t="s">
        <v>59</v>
      </c>
      <c r="P17" s="129" t="s">
        <v>243</v>
      </c>
      <c r="Q17" s="130" t="s">
        <v>244</v>
      </c>
    </row>
    <row r="18" spans="1:17" ht="14.45" hidden="1" customHeight="1" outlineLevel="1" x14ac:dyDescent="0.2">
      <c r="A18" s="420" t="s">
        <v>152</v>
      </c>
      <c r="B18" s="105">
        <v>406.70100000000002</v>
      </c>
      <c r="C18" s="100">
        <v>252.35599999999999</v>
      </c>
      <c r="D18" s="100">
        <v>270.29000000000002</v>
      </c>
      <c r="E18" s="404">
        <f>IF(OR(D18=0,B18=0),"",D18/B18)</f>
        <v>0.66459143203483639</v>
      </c>
      <c r="F18" s="115">
        <f>IF(OR(D18=0,C18=0),"",D18/C18)</f>
        <v>1.0710662714577819</v>
      </c>
      <c r="G18" s="105">
        <v>45</v>
      </c>
      <c r="H18" s="100">
        <v>30</v>
      </c>
      <c r="I18" s="100">
        <v>37</v>
      </c>
      <c r="J18" s="404">
        <f>IF(OR(I18=0,G18=0),"",I18/G18)</f>
        <v>0.82222222222222219</v>
      </c>
      <c r="K18" s="117">
        <f>IF(OR(I18=0,H18=0),"",I18/H18)</f>
        <v>1.2333333333333334</v>
      </c>
      <c r="L18" s="610">
        <v>0.91871999999999998</v>
      </c>
      <c r="M18" s="611"/>
      <c r="N18" s="131">
        <f t="shared" ref="N18:N26" si="8">D18-C18</f>
        <v>17.934000000000026</v>
      </c>
      <c r="O18" s="132">
        <f t="shared" ref="O18:O26" si="9">I18-H18</f>
        <v>7</v>
      </c>
      <c r="P18" s="131">
        <f t="shared" ref="P18:P26" si="10">D18-B18</f>
        <v>-136.411</v>
      </c>
      <c r="Q18" s="132">
        <f t="shared" ref="Q18:Q26" si="11">I18-G18</f>
        <v>-8</v>
      </c>
    </row>
    <row r="19" spans="1:17" ht="14.45" hidden="1" customHeight="1" outlineLevel="1" x14ac:dyDescent="0.2">
      <c r="A19" s="421" t="s">
        <v>153</v>
      </c>
      <c r="B19" s="106">
        <v>29.355</v>
      </c>
      <c r="C19" s="99">
        <v>34.636000000000003</v>
      </c>
      <c r="D19" s="99">
        <v>43.079000000000001</v>
      </c>
      <c r="E19" s="405">
        <f t="shared" ref="E19:E25" si="12">IF(OR(D19=0,B19=0),"",D19/B19)</f>
        <v>1.4675183103389542</v>
      </c>
      <c r="F19" s="118">
        <f t="shared" ref="F19:F25" si="13">IF(OR(D19=0,C19=0),"",D19/C19)</f>
        <v>1.2437637140547406</v>
      </c>
      <c r="G19" s="106">
        <v>4</v>
      </c>
      <c r="H19" s="99">
        <v>6</v>
      </c>
      <c r="I19" s="99">
        <v>6</v>
      </c>
      <c r="J19" s="405">
        <f t="shared" ref="J19:J25" si="14">IF(OR(I19=0,G19=0),"",I19/G19)</f>
        <v>1.5</v>
      </c>
      <c r="K19" s="120">
        <f t="shared" ref="K19:K25" si="15">IF(OR(I19=0,H19=0),"",I19/H19)</f>
        <v>1</v>
      </c>
      <c r="L19" s="610">
        <v>0.99456</v>
      </c>
      <c r="M19" s="611"/>
      <c r="N19" s="133">
        <f t="shared" si="8"/>
        <v>8.4429999999999978</v>
      </c>
      <c r="O19" s="134">
        <f t="shared" si="9"/>
        <v>0</v>
      </c>
      <c r="P19" s="133">
        <f t="shared" si="10"/>
        <v>13.724</v>
      </c>
      <c r="Q19" s="134">
        <f t="shared" si="11"/>
        <v>2</v>
      </c>
    </row>
    <row r="20" spans="1:17" ht="14.45" hidden="1" customHeight="1" outlineLevel="1" x14ac:dyDescent="0.2">
      <c r="A20" s="421" t="s">
        <v>154</v>
      </c>
      <c r="B20" s="106">
        <v>92.811999999999998</v>
      </c>
      <c r="C20" s="99">
        <v>154.16200000000001</v>
      </c>
      <c r="D20" s="99">
        <v>78.531000000000006</v>
      </c>
      <c r="E20" s="405">
        <f t="shared" si="12"/>
        <v>0.84612981080032768</v>
      </c>
      <c r="F20" s="118">
        <f t="shared" si="13"/>
        <v>0.50940569011818737</v>
      </c>
      <c r="G20" s="106">
        <v>11</v>
      </c>
      <c r="H20" s="99">
        <v>17</v>
      </c>
      <c r="I20" s="99">
        <v>11</v>
      </c>
      <c r="J20" s="405">
        <f t="shared" si="14"/>
        <v>1</v>
      </c>
      <c r="K20" s="120">
        <f t="shared" si="15"/>
        <v>0.6470588235294118</v>
      </c>
      <c r="L20" s="610">
        <v>0.96671999999999991</v>
      </c>
      <c r="M20" s="611"/>
      <c r="N20" s="133">
        <f t="shared" si="8"/>
        <v>-75.631</v>
      </c>
      <c r="O20" s="134">
        <f t="shared" si="9"/>
        <v>-6</v>
      </c>
      <c r="P20" s="133">
        <f t="shared" si="10"/>
        <v>-14.280999999999992</v>
      </c>
      <c r="Q20" s="134">
        <f t="shared" si="11"/>
        <v>0</v>
      </c>
    </row>
    <row r="21" spans="1:17" ht="14.45" hidden="1" customHeight="1" outlineLevel="1" x14ac:dyDescent="0.2">
      <c r="A21" s="421" t="s">
        <v>155</v>
      </c>
      <c r="B21" s="106">
        <v>49.621000000000002</v>
      </c>
      <c r="C21" s="99">
        <v>36.762999999999998</v>
      </c>
      <c r="D21" s="99">
        <v>2.3929999999999998</v>
      </c>
      <c r="E21" s="405">
        <f t="shared" si="12"/>
        <v>4.8225549666471849E-2</v>
      </c>
      <c r="F21" s="118">
        <f t="shared" si="13"/>
        <v>6.509262029758181E-2</v>
      </c>
      <c r="G21" s="106">
        <v>5</v>
      </c>
      <c r="H21" s="99">
        <v>2</v>
      </c>
      <c r="I21" s="99">
        <v>2</v>
      </c>
      <c r="J21" s="405">
        <f t="shared" si="14"/>
        <v>0.4</v>
      </c>
      <c r="K21" s="120">
        <f t="shared" si="15"/>
        <v>1</v>
      </c>
      <c r="L21" s="610">
        <v>1.11744</v>
      </c>
      <c r="M21" s="611"/>
      <c r="N21" s="133">
        <f t="shared" si="8"/>
        <v>-34.369999999999997</v>
      </c>
      <c r="O21" s="134">
        <f t="shared" si="9"/>
        <v>0</v>
      </c>
      <c r="P21" s="133">
        <f t="shared" si="10"/>
        <v>-47.228000000000002</v>
      </c>
      <c r="Q21" s="134">
        <f t="shared" si="11"/>
        <v>-3</v>
      </c>
    </row>
    <row r="22" spans="1:17" ht="14.45" hidden="1" customHeight="1" outlineLevel="1" x14ac:dyDescent="0.2">
      <c r="A22" s="421" t="s">
        <v>156</v>
      </c>
      <c r="B22" s="106">
        <v>0</v>
      </c>
      <c r="C22" s="99">
        <v>0</v>
      </c>
      <c r="D22" s="99">
        <v>0</v>
      </c>
      <c r="E22" s="405" t="str">
        <f t="shared" si="12"/>
        <v/>
      </c>
      <c r="F22" s="118" t="str">
        <f t="shared" si="13"/>
        <v/>
      </c>
      <c r="G22" s="106">
        <v>0</v>
      </c>
      <c r="H22" s="99">
        <v>0</v>
      </c>
      <c r="I22" s="99">
        <v>0</v>
      </c>
      <c r="J22" s="405" t="str">
        <f t="shared" si="14"/>
        <v/>
      </c>
      <c r="K22" s="120" t="str">
        <f t="shared" si="15"/>
        <v/>
      </c>
      <c r="L22" s="610">
        <v>0.96</v>
      </c>
      <c r="M22" s="611"/>
      <c r="N22" s="133">
        <f t="shared" si="8"/>
        <v>0</v>
      </c>
      <c r="O22" s="134">
        <f t="shared" si="9"/>
        <v>0</v>
      </c>
      <c r="P22" s="133">
        <f t="shared" si="10"/>
        <v>0</v>
      </c>
      <c r="Q22" s="134">
        <f t="shared" si="11"/>
        <v>0</v>
      </c>
    </row>
    <row r="23" spans="1:17" ht="14.45" hidden="1" customHeight="1" outlineLevel="1" x14ac:dyDescent="0.2">
      <c r="A23" s="421" t="s">
        <v>157</v>
      </c>
      <c r="B23" s="106">
        <v>51.255000000000003</v>
      </c>
      <c r="C23" s="99">
        <v>138.33799999999999</v>
      </c>
      <c r="D23" s="99">
        <v>63.682000000000002</v>
      </c>
      <c r="E23" s="405">
        <f t="shared" si="12"/>
        <v>1.2424543946932007</v>
      </c>
      <c r="F23" s="118">
        <f t="shared" si="13"/>
        <v>0.46033627781231479</v>
      </c>
      <c r="G23" s="106">
        <v>6</v>
      </c>
      <c r="H23" s="99">
        <v>12</v>
      </c>
      <c r="I23" s="99">
        <v>11</v>
      </c>
      <c r="J23" s="405">
        <f t="shared" si="14"/>
        <v>1.8333333333333333</v>
      </c>
      <c r="K23" s="120">
        <f t="shared" si="15"/>
        <v>0.91666666666666663</v>
      </c>
      <c r="L23" s="610">
        <v>0.98495999999999995</v>
      </c>
      <c r="M23" s="611"/>
      <c r="N23" s="133">
        <f t="shared" si="8"/>
        <v>-74.655999999999992</v>
      </c>
      <c r="O23" s="134">
        <f t="shared" si="9"/>
        <v>-1</v>
      </c>
      <c r="P23" s="133">
        <f t="shared" si="10"/>
        <v>12.427</v>
      </c>
      <c r="Q23" s="134">
        <f t="shared" si="11"/>
        <v>5</v>
      </c>
    </row>
    <row r="24" spans="1:17" ht="14.45" hidden="1" customHeight="1" outlineLevel="1" x14ac:dyDescent="0.2">
      <c r="A24" s="421" t="s">
        <v>158</v>
      </c>
      <c r="B24" s="106">
        <v>25.295999999999999</v>
      </c>
      <c r="C24" s="99">
        <v>50.402000000000001</v>
      </c>
      <c r="D24" s="99">
        <v>20.091999999999999</v>
      </c>
      <c r="E24" s="405">
        <f t="shared" si="12"/>
        <v>0.79427577482605938</v>
      </c>
      <c r="F24" s="118">
        <f t="shared" si="13"/>
        <v>0.39863497480258714</v>
      </c>
      <c r="G24" s="106">
        <v>2</v>
      </c>
      <c r="H24" s="99">
        <v>5</v>
      </c>
      <c r="I24" s="99">
        <v>5</v>
      </c>
      <c r="J24" s="405">
        <f t="shared" si="14"/>
        <v>2.5</v>
      </c>
      <c r="K24" s="120">
        <f t="shared" si="15"/>
        <v>1</v>
      </c>
      <c r="L24" s="610">
        <v>1.0147199999999998</v>
      </c>
      <c r="M24" s="611"/>
      <c r="N24" s="133">
        <f t="shared" si="8"/>
        <v>-30.310000000000002</v>
      </c>
      <c r="O24" s="134">
        <f t="shared" si="9"/>
        <v>0</v>
      </c>
      <c r="P24" s="133">
        <f t="shared" si="10"/>
        <v>-5.2040000000000006</v>
      </c>
      <c r="Q24" s="134">
        <f t="shared" si="11"/>
        <v>3</v>
      </c>
    </row>
    <row r="25" spans="1:17" ht="14.45" hidden="1" customHeight="1" outlineLevel="1" thickBot="1" x14ac:dyDescent="0.25">
      <c r="A25" s="422" t="s">
        <v>186</v>
      </c>
      <c r="B25" s="224">
        <v>0</v>
      </c>
      <c r="C25" s="225">
        <v>0</v>
      </c>
      <c r="D25" s="225">
        <v>0</v>
      </c>
      <c r="E25" s="406" t="str">
        <f t="shared" si="12"/>
        <v/>
      </c>
      <c r="F25" s="226" t="str">
        <f t="shared" si="13"/>
        <v/>
      </c>
      <c r="G25" s="224">
        <v>0</v>
      </c>
      <c r="H25" s="225">
        <v>0</v>
      </c>
      <c r="I25" s="225">
        <v>0</v>
      </c>
      <c r="J25" s="406" t="str">
        <f t="shared" si="14"/>
        <v/>
      </c>
      <c r="K25" s="228" t="str">
        <f t="shared" si="15"/>
        <v/>
      </c>
      <c r="L25" s="336"/>
      <c r="M25" s="337"/>
      <c r="N25" s="231">
        <f t="shared" si="8"/>
        <v>0</v>
      </c>
      <c r="O25" s="232">
        <f t="shared" si="9"/>
        <v>0</v>
      </c>
      <c r="P25" s="231">
        <f t="shared" si="10"/>
        <v>0</v>
      </c>
      <c r="Q25" s="232">
        <f t="shared" si="11"/>
        <v>0</v>
      </c>
    </row>
    <row r="26" spans="1:17" ht="14.45" customHeight="1" collapsed="1" thickBot="1" x14ac:dyDescent="0.25">
      <c r="A26" s="425" t="s">
        <v>3</v>
      </c>
      <c r="B26" s="135">
        <f>SUM(B18:B25)</f>
        <v>655.04000000000008</v>
      </c>
      <c r="C26" s="136">
        <f>SUM(C18:C25)</f>
        <v>666.65700000000004</v>
      </c>
      <c r="D26" s="136">
        <f>SUM(D18:D25)</f>
        <v>478.06700000000001</v>
      </c>
      <c r="E26" s="401">
        <f>IF(OR(D26=0,B26=0),0,D26/B26)</f>
        <v>0.72982871275036632</v>
      </c>
      <c r="F26" s="137">
        <f>IF(OR(D26=0,C26=0),0,D26/C26)</f>
        <v>0.71711089810802253</v>
      </c>
      <c r="G26" s="135">
        <f>SUM(G18:G25)</f>
        <v>73</v>
      </c>
      <c r="H26" s="136">
        <f>SUM(H18:H25)</f>
        <v>72</v>
      </c>
      <c r="I26" s="136">
        <f>SUM(I18:I25)</f>
        <v>72</v>
      </c>
      <c r="J26" s="401">
        <f>IF(OR(I26=0,G26=0),0,I26/G26)</f>
        <v>0.98630136986301364</v>
      </c>
      <c r="K26" s="138">
        <f>IF(OR(I26=0,H26=0),0,I26/H26)</f>
        <v>1</v>
      </c>
      <c r="L26" s="107"/>
      <c r="M26" s="107"/>
      <c r="N26" s="129">
        <f t="shared" si="8"/>
        <v>-188.59000000000003</v>
      </c>
      <c r="O26" s="139">
        <f t="shared" si="9"/>
        <v>0</v>
      </c>
      <c r="P26" s="129">
        <f t="shared" si="10"/>
        <v>-176.97300000000007</v>
      </c>
      <c r="Q26" s="139">
        <f t="shared" si="11"/>
        <v>-1</v>
      </c>
    </row>
    <row r="27" spans="1:17" ht="14.45" customHeight="1" x14ac:dyDescent="0.2">
      <c r="A27" s="140"/>
      <c r="B27" s="614" t="s">
        <v>184</v>
      </c>
      <c r="C27" s="623"/>
      <c r="D27" s="623"/>
      <c r="E27" s="624"/>
      <c r="F27" s="623"/>
      <c r="G27" s="614" t="s">
        <v>185</v>
      </c>
      <c r="H27" s="623"/>
      <c r="I27" s="623"/>
      <c r="J27" s="624"/>
      <c r="K27" s="623"/>
      <c r="L27" s="141"/>
      <c r="M27" s="141"/>
      <c r="N27" s="141"/>
      <c r="O27" s="142"/>
      <c r="P27" s="141"/>
      <c r="Q27" s="142"/>
    </row>
    <row r="28" spans="1:17" ht="14.45" customHeight="1" thickBot="1" x14ac:dyDescent="0.25">
      <c r="A28" s="140"/>
      <c r="B28" s="334"/>
      <c r="C28" s="335"/>
      <c r="D28" s="335"/>
      <c r="E28" s="335"/>
      <c r="F28" s="335"/>
      <c r="G28" s="334"/>
      <c r="H28" s="335"/>
      <c r="I28" s="335"/>
      <c r="J28" s="335"/>
      <c r="K28" s="335"/>
      <c r="L28" s="141"/>
      <c r="M28" s="141"/>
      <c r="N28" s="141"/>
      <c r="O28" s="142"/>
      <c r="P28" s="141"/>
      <c r="Q28" s="142"/>
    </row>
    <row r="29" spans="1:17" ht="14.45" customHeight="1" thickBot="1" x14ac:dyDescent="0.25">
      <c r="A29" s="631" t="s">
        <v>236</v>
      </c>
      <c r="B29" s="633" t="s">
        <v>57</v>
      </c>
      <c r="C29" s="634"/>
      <c r="D29" s="634"/>
      <c r="E29" s="635"/>
      <c r="F29" s="636"/>
      <c r="G29" s="634" t="s">
        <v>217</v>
      </c>
      <c r="H29" s="634"/>
      <c r="I29" s="634"/>
      <c r="J29" s="635"/>
      <c r="K29" s="636"/>
      <c r="L29" s="141"/>
      <c r="M29" s="141"/>
      <c r="N29" s="141"/>
      <c r="O29" s="142"/>
      <c r="P29" s="141"/>
      <c r="Q29" s="142"/>
    </row>
    <row r="30" spans="1:17" ht="14.45" customHeight="1" thickBot="1" x14ac:dyDescent="0.25">
      <c r="A30" s="632"/>
      <c r="B30" s="143">
        <v>2015</v>
      </c>
      <c r="C30" s="144">
        <v>2018</v>
      </c>
      <c r="D30" s="144">
        <v>2019</v>
      </c>
      <c r="E30" s="144" t="s">
        <v>234</v>
      </c>
      <c r="F30" s="145" t="s">
        <v>2</v>
      </c>
      <c r="G30" s="144">
        <v>2015</v>
      </c>
      <c r="H30" s="144">
        <v>2018</v>
      </c>
      <c r="I30" s="144">
        <v>2019</v>
      </c>
      <c r="J30" s="144" t="s">
        <v>234</v>
      </c>
      <c r="K30" s="145" t="s">
        <v>2</v>
      </c>
      <c r="L30" s="141"/>
      <c r="M30" s="141"/>
      <c r="N30" s="146" t="s">
        <v>58</v>
      </c>
      <c r="O30" s="147" t="s">
        <v>59</v>
      </c>
      <c r="P30" s="146" t="s">
        <v>243</v>
      </c>
      <c r="Q30" s="147" t="s">
        <v>244</v>
      </c>
    </row>
    <row r="31" spans="1:17" ht="14.45" hidden="1" customHeight="1" outlineLevel="1" x14ac:dyDescent="0.2">
      <c r="A31" s="420" t="s">
        <v>152</v>
      </c>
      <c r="B31" s="105">
        <v>4.7210000000000001</v>
      </c>
      <c r="C31" s="100">
        <v>0</v>
      </c>
      <c r="D31" s="100">
        <v>0</v>
      </c>
      <c r="E31" s="404" t="str">
        <f>IF(OR(D31=0,B31=0),"",D31/B31)</f>
        <v/>
      </c>
      <c r="F31" s="115" t="str">
        <f>IF(OR(D31=0,C31=0),"",D31/C31)</f>
        <v/>
      </c>
      <c r="G31" s="116">
        <v>1</v>
      </c>
      <c r="H31" s="100">
        <v>0</v>
      </c>
      <c r="I31" s="100">
        <v>0</v>
      </c>
      <c r="J31" s="404" t="str">
        <f>IF(OR(I31=0,G31=0),"",I31/G31)</f>
        <v/>
      </c>
      <c r="K31" s="117" t="str">
        <f>IF(OR(I31=0,H31=0),"",I31/H31)</f>
        <v/>
      </c>
      <c r="L31" s="141"/>
      <c r="M31" s="141"/>
      <c r="N31" s="131">
        <f t="shared" ref="N31:N39" si="16">D31-C31</f>
        <v>0</v>
      </c>
      <c r="O31" s="132">
        <f t="shared" ref="O31:O39" si="17">I31-H31</f>
        <v>0</v>
      </c>
      <c r="P31" s="131">
        <f t="shared" ref="P31:P39" si="18">D31-B31</f>
        <v>-4.7210000000000001</v>
      </c>
      <c r="Q31" s="132">
        <f t="shared" ref="Q31:Q39" si="19">I31-G31</f>
        <v>-1</v>
      </c>
    </row>
    <row r="32" spans="1:17" ht="14.45" hidden="1" customHeight="1" outlineLevel="1" x14ac:dyDescent="0.2">
      <c r="A32" s="421" t="s">
        <v>153</v>
      </c>
      <c r="B32" s="106">
        <v>0</v>
      </c>
      <c r="C32" s="99">
        <v>0</v>
      </c>
      <c r="D32" s="99">
        <v>0</v>
      </c>
      <c r="E32" s="405" t="str">
        <f t="shared" ref="E32:E38" si="20">IF(OR(D32=0,B32=0),"",D32/B32)</f>
        <v/>
      </c>
      <c r="F32" s="118" t="str">
        <f t="shared" ref="F32:F38" si="21">IF(OR(D32=0,C32=0),"",D32/C32)</f>
        <v/>
      </c>
      <c r="G32" s="119">
        <v>0</v>
      </c>
      <c r="H32" s="99">
        <v>0</v>
      </c>
      <c r="I32" s="99">
        <v>0</v>
      </c>
      <c r="J32" s="405" t="str">
        <f t="shared" ref="J32:J38" si="22">IF(OR(I32=0,G32=0),"",I32/G32)</f>
        <v/>
      </c>
      <c r="K32" s="120" t="str">
        <f t="shared" ref="K32:K38" si="23">IF(OR(I32=0,H32=0),"",I32/H32)</f>
        <v/>
      </c>
      <c r="L32" s="141"/>
      <c r="M32" s="141"/>
      <c r="N32" s="133">
        <f t="shared" si="16"/>
        <v>0</v>
      </c>
      <c r="O32" s="134">
        <f t="shared" si="17"/>
        <v>0</v>
      </c>
      <c r="P32" s="133">
        <f t="shared" si="18"/>
        <v>0</v>
      </c>
      <c r="Q32" s="134">
        <f t="shared" si="19"/>
        <v>0</v>
      </c>
    </row>
    <row r="33" spans="1:17" ht="14.45" hidden="1" customHeight="1" outlineLevel="1" x14ac:dyDescent="0.2">
      <c r="A33" s="421" t="s">
        <v>154</v>
      </c>
      <c r="B33" s="106">
        <v>0</v>
      </c>
      <c r="C33" s="99">
        <v>0</v>
      </c>
      <c r="D33" s="99">
        <v>0</v>
      </c>
      <c r="E33" s="405" t="str">
        <f t="shared" si="20"/>
        <v/>
      </c>
      <c r="F33" s="118" t="str">
        <f t="shared" si="21"/>
        <v/>
      </c>
      <c r="G33" s="119">
        <v>0</v>
      </c>
      <c r="H33" s="99">
        <v>0</v>
      </c>
      <c r="I33" s="99">
        <v>0</v>
      </c>
      <c r="J33" s="405" t="str">
        <f t="shared" si="22"/>
        <v/>
      </c>
      <c r="K33" s="120" t="str">
        <f t="shared" si="23"/>
        <v/>
      </c>
      <c r="L33" s="141"/>
      <c r="M33" s="141"/>
      <c r="N33" s="133">
        <f t="shared" si="16"/>
        <v>0</v>
      </c>
      <c r="O33" s="134">
        <f t="shared" si="17"/>
        <v>0</v>
      </c>
      <c r="P33" s="133">
        <f t="shared" si="18"/>
        <v>0</v>
      </c>
      <c r="Q33" s="134">
        <f t="shared" si="19"/>
        <v>0</v>
      </c>
    </row>
    <row r="34" spans="1:17" ht="14.45" hidden="1" customHeight="1" outlineLevel="1" x14ac:dyDescent="0.2">
      <c r="A34" s="421" t="s">
        <v>155</v>
      </c>
      <c r="B34" s="106">
        <v>0</v>
      </c>
      <c r="C34" s="99">
        <v>0</v>
      </c>
      <c r="D34" s="99">
        <v>0</v>
      </c>
      <c r="E34" s="405" t="str">
        <f t="shared" si="20"/>
        <v/>
      </c>
      <c r="F34" s="118" t="str">
        <f t="shared" si="21"/>
        <v/>
      </c>
      <c r="G34" s="119">
        <v>0</v>
      </c>
      <c r="H34" s="99">
        <v>0</v>
      </c>
      <c r="I34" s="99">
        <v>0</v>
      </c>
      <c r="J34" s="405" t="str">
        <f t="shared" si="22"/>
        <v/>
      </c>
      <c r="K34" s="120" t="str">
        <f t="shared" si="23"/>
        <v/>
      </c>
      <c r="L34" s="141"/>
      <c r="M34" s="141"/>
      <c r="N34" s="133">
        <f t="shared" si="16"/>
        <v>0</v>
      </c>
      <c r="O34" s="134">
        <f t="shared" si="17"/>
        <v>0</v>
      </c>
      <c r="P34" s="133">
        <f t="shared" si="18"/>
        <v>0</v>
      </c>
      <c r="Q34" s="134">
        <f t="shared" si="19"/>
        <v>0</v>
      </c>
    </row>
    <row r="35" spans="1:17" ht="14.45" hidden="1" customHeight="1" outlineLevel="1" x14ac:dyDescent="0.2">
      <c r="A35" s="421" t="s">
        <v>156</v>
      </c>
      <c r="B35" s="106">
        <v>0</v>
      </c>
      <c r="C35" s="99">
        <v>0</v>
      </c>
      <c r="D35" s="99">
        <v>0</v>
      </c>
      <c r="E35" s="405" t="str">
        <f t="shared" si="20"/>
        <v/>
      </c>
      <c r="F35" s="118" t="str">
        <f t="shared" si="21"/>
        <v/>
      </c>
      <c r="G35" s="119">
        <v>0</v>
      </c>
      <c r="H35" s="99">
        <v>0</v>
      </c>
      <c r="I35" s="99">
        <v>0</v>
      </c>
      <c r="J35" s="405" t="str">
        <f t="shared" si="22"/>
        <v/>
      </c>
      <c r="K35" s="120" t="str">
        <f t="shared" si="23"/>
        <v/>
      </c>
      <c r="L35" s="141"/>
      <c r="M35" s="141"/>
      <c r="N35" s="133">
        <f t="shared" si="16"/>
        <v>0</v>
      </c>
      <c r="O35" s="134">
        <f t="shared" si="17"/>
        <v>0</v>
      </c>
      <c r="P35" s="133">
        <f t="shared" si="18"/>
        <v>0</v>
      </c>
      <c r="Q35" s="134">
        <f t="shared" si="19"/>
        <v>0</v>
      </c>
    </row>
    <row r="36" spans="1:17" ht="14.45" hidden="1" customHeight="1" outlineLevel="1" x14ac:dyDescent="0.2">
      <c r="A36" s="421" t="s">
        <v>157</v>
      </c>
      <c r="B36" s="106">
        <v>0</v>
      </c>
      <c r="C36" s="99">
        <v>0</v>
      </c>
      <c r="D36" s="99">
        <v>0</v>
      </c>
      <c r="E36" s="405" t="str">
        <f t="shared" si="20"/>
        <v/>
      </c>
      <c r="F36" s="118" t="str">
        <f t="shared" si="21"/>
        <v/>
      </c>
      <c r="G36" s="119">
        <v>0</v>
      </c>
      <c r="H36" s="99">
        <v>0</v>
      </c>
      <c r="I36" s="99">
        <v>0</v>
      </c>
      <c r="J36" s="405" t="str">
        <f t="shared" si="22"/>
        <v/>
      </c>
      <c r="K36" s="120" t="str">
        <f t="shared" si="23"/>
        <v/>
      </c>
      <c r="L36" s="141"/>
      <c r="M36" s="141"/>
      <c r="N36" s="133">
        <f t="shared" si="16"/>
        <v>0</v>
      </c>
      <c r="O36" s="134">
        <f t="shared" si="17"/>
        <v>0</v>
      </c>
      <c r="P36" s="133">
        <f t="shared" si="18"/>
        <v>0</v>
      </c>
      <c r="Q36" s="134">
        <f t="shared" si="19"/>
        <v>0</v>
      </c>
    </row>
    <row r="37" spans="1:17" ht="14.45" hidden="1" customHeight="1" outlineLevel="1" x14ac:dyDescent="0.2">
      <c r="A37" s="421" t="s">
        <v>158</v>
      </c>
      <c r="B37" s="106">
        <v>0</v>
      </c>
      <c r="C37" s="99">
        <v>0</v>
      </c>
      <c r="D37" s="99">
        <v>0</v>
      </c>
      <c r="E37" s="405" t="str">
        <f t="shared" si="20"/>
        <v/>
      </c>
      <c r="F37" s="118" t="str">
        <f t="shared" si="21"/>
        <v/>
      </c>
      <c r="G37" s="119">
        <v>0</v>
      </c>
      <c r="H37" s="99">
        <v>0</v>
      </c>
      <c r="I37" s="99">
        <v>0</v>
      </c>
      <c r="J37" s="405" t="str">
        <f t="shared" si="22"/>
        <v/>
      </c>
      <c r="K37" s="120" t="str">
        <f t="shared" si="23"/>
        <v/>
      </c>
      <c r="L37" s="141"/>
      <c r="M37" s="141"/>
      <c r="N37" s="133">
        <f t="shared" si="16"/>
        <v>0</v>
      </c>
      <c r="O37" s="134">
        <f t="shared" si="17"/>
        <v>0</v>
      </c>
      <c r="P37" s="133">
        <f t="shared" si="18"/>
        <v>0</v>
      </c>
      <c r="Q37" s="134">
        <f t="shared" si="19"/>
        <v>0</v>
      </c>
    </row>
    <row r="38" spans="1:17" ht="14.45" hidden="1" customHeight="1" outlineLevel="1" thickBot="1" x14ac:dyDescent="0.25">
      <c r="A38" s="422" t="s">
        <v>186</v>
      </c>
      <c r="B38" s="224">
        <v>0</v>
      </c>
      <c r="C38" s="225">
        <v>0</v>
      </c>
      <c r="D38" s="225">
        <v>0</v>
      </c>
      <c r="E38" s="406" t="str">
        <f t="shared" si="20"/>
        <v/>
      </c>
      <c r="F38" s="226" t="str">
        <f t="shared" si="21"/>
        <v/>
      </c>
      <c r="G38" s="227">
        <v>0</v>
      </c>
      <c r="H38" s="225">
        <v>0</v>
      </c>
      <c r="I38" s="225">
        <v>0</v>
      </c>
      <c r="J38" s="406" t="str">
        <f t="shared" si="22"/>
        <v/>
      </c>
      <c r="K38" s="228" t="str">
        <f t="shared" si="23"/>
        <v/>
      </c>
      <c r="L38" s="141"/>
      <c r="M38" s="141"/>
      <c r="N38" s="231">
        <f t="shared" si="16"/>
        <v>0</v>
      </c>
      <c r="O38" s="232">
        <f t="shared" si="17"/>
        <v>0</v>
      </c>
      <c r="P38" s="231">
        <f t="shared" si="18"/>
        <v>0</v>
      </c>
      <c r="Q38" s="232">
        <f t="shared" si="19"/>
        <v>0</v>
      </c>
    </row>
    <row r="39" spans="1:17" ht="14.45" customHeight="1" collapsed="1" thickBot="1" x14ac:dyDescent="0.25">
      <c r="A39" s="424" t="s">
        <v>3</v>
      </c>
      <c r="B39" s="104">
        <f>SUM(B31:B38)</f>
        <v>4.7210000000000001</v>
      </c>
      <c r="C39" s="148">
        <f>SUM(C31:C38)</f>
        <v>0</v>
      </c>
      <c r="D39" s="148">
        <f>SUM(D31:D38)</f>
        <v>0</v>
      </c>
      <c r="E39" s="402">
        <f>IF(OR(D39=0,B39=0),0,D39/B39)</f>
        <v>0</v>
      </c>
      <c r="F39" s="149">
        <f>IF(OR(D39=0,C39=0),0,D39/C39)</f>
        <v>0</v>
      </c>
      <c r="G39" s="150">
        <f>SUM(G31:G38)</f>
        <v>1</v>
      </c>
      <c r="H39" s="148">
        <f>SUM(H31:H38)</f>
        <v>0</v>
      </c>
      <c r="I39" s="148">
        <f>SUM(I31:I38)</f>
        <v>0</v>
      </c>
      <c r="J39" s="402">
        <f>IF(OR(I39=0,G39=0),0,I39/G39)</f>
        <v>0</v>
      </c>
      <c r="K39" s="151">
        <f>IF(OR(I39=0,H39=0),0,I39/H39)</f>
        <v>0</v>
      </c>
      <c r="L39" s="141"/>
      <c r="M39" s="141"/>
      <c r="N39" s="146">
        <f t="shared" si="16"/>
        <v>0</v>
      </c>
      <c r="O39" s="152">
        <f t="shared" si="17"/>
        <v>0</v>
      </c>
      <c r="P39" s="146">
        <f t="shared" si="18"/>
        <v>-4.7210000000000001</v>
      </c>
      <c r="Q39" s="152">
        <f t="shared" si="19"/>
        <v>-1</v>
      </c>
    </row>
    <row r="40" spans="1:17" ht="14.45" customHeight="1" x14ac:dyDescent="0.2">
      <c r="A40" s="338"/>
      <c r="B40" s="338"/>
      <c r="C40" s="338"/>
      <c r="D40" s="338"/>
      <c r="E40" s="338"/>
      <c r="F40" s="339"/>
      <c r="G40" s="338"/>
      <c r="H40" s="338"/>
      <c r="I40" s="338"/>
      <c r="J40" s="338"/>
      <c r="K40" s="340"/>
      <c r="L40" s="338"/>
      <c r="M40" s="338"/>
      <c r="N40" s="338"/>
      <c r="O40" s="338"/>
      <c r="P40" s="338"/>
      <c r="Q40" s="338"/>
    </row>
    <row r="41" spans="1:17" ht="14.45" customHeight="1" thickBot="1" x14ac:dyDescent="0.25">
      <c r="A41" s="338"/>
      <c r="B41" s="338"/>
      <c r="C41" s="338"/>
      <c r="D41" s="338"/>
      <c r="E41" s="338"/>
      <c r="F41" s="339"/>
      <c r="G41" s="338"/>
      <c r="H41" s="338"/>
      <c r="I41" s="338"/>
      <c r="J41" s="338"/>
      <c r="K41" s="340"/>
      <c r="L41" s="338"/>
      <c r="M41" s="338"/>
      <c r="N41" s="338"/>
      <c r="O41" s="338"/>
      <c r="P41" s="338"/>
      <c r="Q41" s="338"/>
    </row>
    <row r="42" spans="1:17" ht="14.45" customHeight="1" thickBot="1" x14ac:dyDescent="0.25">
      <c r="A42" s="625" t="s">
        <v>237</v>
      </c>
      <c r="B42" s="627" t="s">
        <v>57</v>
      </c>
      <c r="C42" s="628"/>
      <c r="D42" s="628"/>
      <c r="E42" s="629"/>
      <c r="F42" s="630"/>
      <c r="G42" s="628" t="s">
        <v>217</v>
      </c>
      <c r="H42" s="628"/>
      <c r="I42" s="628"/>
      <c r="J42" s="629"/>
      <c r="K42" s="630"/>
      <c r="L42" s="141"/>
      <c r="M42" s="141"/>
      <c r="N42" s="141"/>
      <c r="O42" s="142"/>
      <c r="P42" s="141"/>
      <c r="Q42" s="142"/>
    </row>
    <row r="43" spans="1:17" ht="14.45" customHeight="1" thickBot="1" x14ac:dyDescent="0.25">
      <c r="A43" s="626"/>
      <c r="B43" s="387">
        <v>2015</v>
      </c>
      <c r="C43" s="388">
        <v>2018</v>
      </c>
      <c r="D43" s="388">
        <v>2019</v>
      </c>
      <c r="E43" s="388" t="s">
        <v>234</v>
      </c>
      <c r="F43" s="389" t="s">
        <v>2</v>
      </c>
      <c r="G43" s="388">
        <v>2015</v>
      </c>
      <c r="H43" s="388">
        <v>2018</v>
      </c>
      <c r="I43" s="388">
        <v>2019</v>
      </c>
      <c r="J43" s="388" t="s">
        <v>234</v>
      </c>
      <c r="K43" s="389" t="s">
        <v>2</v>
      </c>
      <c r="L43" s="141"/>
      <c r="M43" s="141"/>
      <c r="N43" s="395" t="s">
        <v>58</v>
      </c>
      <c r="O43" s="397" t="s">
        <v>59</v>
      </c>
      <c r="P43" s="395" t="s">
        <v>243</v>
      </c>
      <c r="Q43" s="397" t="s">
        <v>244</v>
      </c>
    </row>
    <row r="44" spans="1:17" ht="14.45" hidden="1" customHeight="1" outlineLevel="1" x14ac:dyDescent="0.2">
      <c r="A44" s="420" t="s">
        <v>152</v>
      </c>
      <c r="B44" s="105">
        <v>0</v>
      </c>
      <c r="C44" s="100">
        <v>0</v>
      </c>
      <c r="D44" s="100">
        <v>0</v>
      </c>
      <c r="E44" s="404" t="str">
        <f>IF(OR(D44=0,B44=0),"",D44/B44)</f>
        <v/>
      </c>
      <c r="F44" s="115" t="str">
        <f>IF(OR(D44=0,C44=0),"",D44/C44)</f>
        <v/>
      </c>
      <c r="G44" s="116">
        <v>0</v>
      </c>
      <c r="H44" s="100">
        <v>0</v>
      </c>
      <c r="I44" s="100">
        <v>0</v>
      </c>
      <c r="J44" s="404" t="str">
        <f>IF(OR(I44=0,G44=0),"",I44/G44)</f>
        <v/>
      </c>
      <c r="K44" s="117" t="str">
        <f>IF(OR(I44=0,H44=0),"",I44/H44)</f>
        <v/>
      </c>
      <c r="L44" s="141"/>
      <c r="M44" s="141"/>
      <c r="N44" s="131">
        <f t="shared" ref="N44:N52" si="24">D44-C44</f>
        <v>0</v>
      </c>
      <c r="O44" s="132">
        <f t="shared" ref="O44:O52" si="25">I44-H44</f>
        <v>0</v>
      </c>
      <c r="P44" s="131">
        <f t="shared" ref="P44:P52" si="26">D44-B44</f>
        <v>0</v>
      </c>
      <c r="Q44" s="132">
        <f t="shared" ref="Q44:Q52" si="27">I44-G44</f>
        <v>0</v>
      </c>
    </row>
    <row r="45" spans="1:17" ht="14.45" hidden="1" customHeight="1" outlineLevel="1" x14ac:dyDescent="0.2">
      <c r="A45" s="421" t="s">
        <v>153</v>
      </c>
      <c r="B45" s="106">
        <v>0</v>
      </c>
      <c r="C45" s="99">
        <v>0</v>
      </c>
      <c r="D45" s="99">
        <v>0</v>
      </c>
      <c r="E45" s="405" t="str">
        <f t="shared" ref="E45:E51" si="28">IF(OR(D45=0,B45=0),"",D45/B45)</f>
        <v/>
      </c>
      <c r="F45" s="118" t="str">
        <f t="shared" ref="F45:F51" si="29">IF(OR(D45=0,C45=0),"",D45/C45)</f>
        <v/>
      </c>
      <c r="G45" s="119">
        <v>0</v>
      </c>
      <c r="H45" s="99">
        <v>0</v>
      </c>
      <c r="I45" s="99">
        <v>0</v>
      </c>
      <c r="J45" s="405" t="str">
        <f t="shared" ref="J45:J51" si="30">IF(OR(I45=0,G45=0),"",I45/G45)</f>
        <v/>
      </c>
      <c r="K45" s="120" t="str">
        <f t="shared" ref="K45:K51" si="31">IF(OR(I45=0,H45=0),"",I45/H45)</f>
        <v/>
      </c>
      <c r="L45" s="141"/>
      <c r="M45" s="141"/>
      <c r="N45" s="133">
        <f t="shared" si="24"/>
        <v>0</v>
      </c>
      <c r="O45" s="134">
        <f t="shared" si="25"/>
        <v>0</v>
      </c>
      <c r="P45" s="133">
        <f t="shared" si="26"/>
        <v>0</v>
      </c>
      <c r="Q45" s="134">
        <f t="shared" si="27"/>
        <v>0</v>
      </c>
    </row>
    <row r="46" spans="1:17" ht="14.45" hidden="1" customHeight="1" outlineLevel="1" x14ac:dyDescent="0.2">
      <c r="A46" s="421" t="s">
        <v>154</v>
      </c>
      <c r="B46" s="106">
        <v>0</v>
      </c>
      <c r="C46" s="99">
        <v>0</v>
      </c>
      <c r="D46" s="99">
        <v>0</v>
      </c>
      <c r="E46" s="405" t="str">
        <f t="shared" si="28"/>
        <v/>
      </c>
      <c r="F46" s="118" t="str">
        <f t="shared" si="29"/>
        <v/>
      </c>
      <c r="G46" s="119">
        <v>0</v>
      </c>
      <c r="H46" s="99">
        <v>0</v>
      </c>
      <c r="I46" s="99">
        <v>0</v>
      </c>
      <c r="J46" s="405" t="str">
        <f t="shared" si="30"/>
        <v/>
      </c>
      <c r="K46" s="120" t="str">
        <f t="shared" si="31"/>
        <v/>
      </c>
      <c r="L46" s="141"/>
      <c r="M46" s="141"/>
      <c r="N46" s="133">
        <f t="shared" si="24"/>
        <v>0</v>
      </c>
      <c r="O46" s="134">
        <f t="shared" si="25"/>
        <v>0</v>
      </c>
      <c r="P46" s="133">
        <f t="shared" si="26"/>
        <v>0</v>
      </c>
      <c r="Q46" s="134">
        <f t="shared" si="27"/>
        <v>0</v>
      </c>
    </row>
    <row r="47" spans="1:17" ht="14.45" hidden="1" customHeight="1" outlineLevel="1" x14ac:dyDescent="0.2">
      <c r="A47" s="421" t="s">
        <v>155</v>
      </c>
      <c r="B47" s="106">
        <v>0</v>
      </c>
      <c r="C47" s="99">
        <v>0</v>
      </c>
      <c r="D47" s="99">
        <v>0</v>
      </c>
      <c r="E47" s="405" t="str">
        <f t="shared" si="28"/>
        <v/>
      </c>
      <c r="F47" s="118" t="str">
        <f t="shared" si="29"/>
        <v/>
      </c>
      <c r="G47" s="119">
        <v>0</v>
      </c>
      <c r="H47" s="99">
        <v>0</v>
      </c>
      <c r="I47" s="99">
        <v>0</v>
      </c>
      <c r="J47" s="405" t="str">
        <f t="shared" si="30"/>
        <v/>
      </c>
      <c r="K47" s="120" t="str">
        <f t="shared" si="31"/>
        <v/>
      </c>
      <c r="L47" s="141"/>
      <c r="M47" s="141"/>
      <c r="N47" s="133">
        <f t="shared" si="24"/>
        <v>0</v>
      </c>
      <c r="O47" s="134">
        <f t="shared" si="25"/>
        <v>0</v>
      </c>
      <c r="P47" s="133">
        <f t="shared" si="26"/>
        <v>0</v>
      </c>
      <c r="Q47" s="134">
        <f t="shared" si="27"/>
        <v>0</v>
      </c>
    </row>
    <row r="48" spans="1:17" ht="14.45" hidden="1" customHeight="1" outlineLevel="1" x14ac:dyDescent="0.2">
      <c r="A48" s="421" t="s">
        <v>156</v>
      </c>
      <c r="B48" s="106">
        <v>0</v>
      </c>
      <c r="C48" s="99">
        <v>0</v>
      </c>
      <c r="D48" s="99">
        <v>0</v>
      </c>
      <c r="E48" s="405" t="str">
        <f t="shared" si="28"/>
        <v/>
      </c>
      <c r="F48" s="118" t="str">
        <f t="shared" si="29"/>
        <v/>
      </c>
      <c r="G48" s="119">
        <v>0</v>
      </c>
      <c r="H48" s="99">
        <v>0</v>
      </c>
      <c r="I48" s="99">
        <v>0</v>
      </c>
      <c r="J48" s="405" t="str">
        <f t="shared" si="30"/>
        <v/>
      </c>
      <c r="K48" s="120" t="str">
        <f t="shared" si="31"/>
        <v/>
      </c>
      <c r="L48" s="141"/>
      <c r="M48" s="141"/>
      <c r="N48" s="133">
        <f t="shared" si="24"/>
        <v>0</v>
      </c>
      <c r="O48" s="134">
        <f t="shared" si="25"/>
        <v>0</v>
      </c>
      <c r="P48" s="133">
        <f t="shared" si="26"/>
        <v>0</v>
      </c>
      <c r="Q48" s="134">
        <f t="shared" si="27"/>
        <v>0</v>
      </c>
    </row>
    <row r="49" spans="1:17" ht="14.45" hidden="1" customHeight="1" outlineLevel="1" x14ac:dyDescent="0.2">
      <c r="A49" s="421" t="s">
        <v>157</v>
      </c>
      <c r="B49" s="106">
        <v>0</v>
      </c>
      <c r="C49" s="99">
        <v>0</v>
      </c>
      <c r="D49" s="99">
        <v>0</v>
      </c>
      <c r="E49" s="405" t="str">
        <f t="shared" si="28"/>
        <v/>
      </c>
      <c r="F49" s="118" t="str">
        <f t="shared" si="29"/>
        <v/>
      </c>
      <c r="G49" s="119">
        <v>0</v>
      </c>
      <c r="H49" s="99">
        <v>0</v>
      </c>
      <c r="I49" s="99">
        <v>0</v>
      </c>
      <c r="J49" s="405" t="str">
        <f t="shared" si="30"/>
        <v/>
      </c>
      <c r="K49" s="120" t="str">
        <f t="shared" si="31"/>
        <v/>
      </c>
      <c r="L49" s="141"/>
      <c r="M49" s="141"/>
      <c r="N49" s="133">
        <f t="shared" si="24"/>
        <v>0</v>
      </c>
      <c r="O49" s="134">
        <f t="shared" si="25"/>
        <v>0</v>
      </c>
      <c r="P49" s="133">
        <f t="shared" si="26"/>
        <v>0</v>
      </c>
      <c r="Q49" s="134">
        <f t="shared" si="27"/>
        <v>0</v>
      </c>
    </row>
    <row r="50" spans="1:17" ht="14.45" hidden="1" customHeight="1" outlineLevel="1" x14ac:dyDescent="0.2">
      <c r="A50" s="421" t="s">
        <v>158</v>
      </c>
      <c r="B50" s="106">
        <v>0</v>
      </c>
      <c r="C50" s="99">
        <v>0</v>
      </c>
      <c r="D50" s="99">
        <v>0</v>
      </c>
      <c r="E50" s="405" t="str">
        <f t="shared" si="28"/>
        <v/>
      </c>
      <c r="F50" s="118" t="str">
        <f t="shared" si="29"/>
        <v/>
      </c>
      <c r="G50" s="119">
        <v>0</v>
      </c>
      <c r="H50" s="99">
        <v>0</v>
      </c>
      <c r="I50" s="99">
        <v>0</v>
      </c>
      <c r="J50" s="405" t="str">
        <f t="shared" si="30"/>
        <v/>
      </c>
      <c r="K50" s="120" t="str">
        <f t="shared" si="31"/>
        <v/>
      </c>
      <c r="L50" s="141"/>
      <c r="M50" s="141"/>
      <c r="N50" s="133">
        <f t="shared" si="24"/>
        <v>0</v>
      </c>
      <c r="O50" s="134">
        <f t="shared" si="25"/>
        <v>0</v>
      </c>
      <c r="P50" s="133">
        <f t="shared" si="26"/>
        <v>0</v>
      </c>
      <c r="Q50" s="134">
        <f t="shared" si="27"/>
        <v>0</v>
      </c>
    </row>
    <row r="51" spans="1:17" ht="14.45" hidden="1" customHeight="1" outlineLevel="1" thickBot="1" x14ac:dyDescent="0.25">
      <c r="A51" s="422" t="s">
        <v>186</v>
      </c>
      <c r="B51" s="224">
        <v>0</v>
      </c>
      <c r="C51" s="225">
        <v>0</v>
      </c>
      <c r="D51" s="225">
        <v>0</v>
      </c>
      <c r="E51" s="406" t="str">
        <f t="shared" si="28"/>
        <v/>
      </c>
      <c r="F51" s="226" t="str">
        <f t="shared" si="29"/>
        <v/>
      </c>
      <c r="G51" s="227">
        <v>0</v>
      </c>
      <c r="H51" s="225">
        <v>0</v>
      </c>
      <c r="I51" s="225">
        <v>0</v>
      </c>
      <c r="J51" s="406" t="str">
        <f t="shared" si="30"/>
        <v/>
      </c>
      <c r="K51" s="228" t="str">
        <f t="shared" si="31"/>
        <v/>
      </c>
      <c r="L51" s="141"/>
      <c r="M51" s="141"/>
      <c r="N51" s="231">
        <f t="shared" si="24"/>
        <v>0</v>
      </c>
      <c r="O51" s="232">
        <f t="shared" si="25"/>
        <v>0</v>
      </c>
      <c r="P51" s="231">
        <f t="shared" si="26"/>
        <v>0</v>
      </c>
      <c r="Q51" s="232">
        <f t="shared" si="27"/>
        <v>0</v>
      </c>
    </row>
    <row r="52" spans="1:17" ht="14.45" customHeight="1" collapsed="1" thickBot="1" x14ac:dyDescent="0.25">
      <c r="A52" s="423" t="s">
        <v>3</v>
      </c>
      <c r="B52" s="390">
        <f>SUM(B44:B51)</f>
        <v>0</v>
      </c>
      <c r="C52" s="391">
        <f>SUM(C44:C51)</f>
        <v>0</v>
      </c>
      <c r="D52" s="391">
        <f>SUM(D44:D51)</f>
        <v>0</v>
      </c>
      <c r="E52" s="403">
        <f>IF(OR(D52=0,B52=0),0,D52/B52)</f>
        <v>0</v>
      </c>
      <c r="F52" s="392">
        <f>IF(OR(D52=0,C52=0),0,D52/C52)</f>
        <v>0</v>
      </c>
      <c r="G52" s="393">
        <f>SUM(G44:G51)</f>
        <v>0</v>
      </c>
      <c r="H52" s="391">
        <f>SUM(H44:H51)</f>
        <v>0</v>
      </c>
      <c r="I52" s="391">
        <f>SUM(I44:I51)</f>
        <v>0</v>
      </c>
      <c r="J52" s="403">
        <f>IF(OR(I52=0,G52=0),0,I52/G52)</f>
        <v>0</v>
      </c>
      <c r="K52" s="394">
        <f>IF(OR(I52=0,H52=0),0,I52/H52)</f>
        <v>0</v>
      </c>
      <c r="L52" s="141"/>
      <c r="M52" s="141"/>
      <c r="N52" s="395">
        <f t="shared" si="24"/>
        <v>0</v>
      </c>
      <c r="O52" s="396">
        <f t="shared" si="25"/>
        <v>0</v>
      </c>
      <c r="P52" s="395">
        <f t="shared" si="26"/>
        <v>0</v>
      </c>
      <c r="Q52" s="396">
        <f t="shared" si="27"/>
        <v>0</v>
      </c>
    </row>
    <row r="53" spans="1:17" ht="14.45" customHeight="1" x14ac:dyDescent="0.2">
      <c r="A53" s="338"/>
      <c r="B53" s="338"/>
      <c r="C53" s="338"/>
      <c r="D53" s="338"/>
      <c r="E53" s="338"/>
      <c r="F53" s="339"/>
      <c r="G53" s="338"/>
      <c r="H53" s="338"/>
      <c r="I53" s="338"/>
      <c r="J53" s="338"/>
      <c r="K53" s="340"/>
      <c r="L53" s="338"/>
      <c r="M53" s="338"/>
      <c r="N53" s="338"/>
      <c r="O53" s="338"/>
    </row>
    <row r="54" spans="1:17" ht="14.45" customHeight="1" x14ac:dyDescent="0.2">
      <c r="A54" s="241" t="s">
        <v>233</v>
      </c>
      <c r="B54" s="338"/>
      <c r="C54" s="338"/>
      <c r="D54" s="338"/>
      <c r="E54" s="338"/>
      <c r="F54" s="339"/>
      <c r="G54" s="338"/>
      <c r="H54" s="338"/>
      <c r="I54" s="338"/>
      <c r="J54" s="338"/>
      <c r="K54" s="340"/>
      <c r="L54" s="338"/>
      <c r="M54" s="338"/>
      <c r="N54" s="338"/>
      <c r="O54" s="338"/>
    </row>
    <row r="55" spans="1:17" ht="14.45" customHeight="1" x14ac:dyDescent="0.2">
      <c r="A55" s="365" t="s">
        <v>279</v>
      </c>
    </row>
    <row r="56" spans="1:17" ht="14.45" customHeight="1" x14ac:dyDescent="0.2">
      <c r="A56" s="366" t="s">
        <v>280</v>
      </c>
    </row>
    <row r="57" spans="1:17" ht="14.45" customHeight="1" x14ac:dyDescent="0.2">
      <c r="A57" s="365" t="s">
        <v>281</v>
      </c>
    </row>
    <row r="58" spans="1:17" ht="14.45" customHeight="1" x14ac:dyDescent="0.2">
      <c r="A58" s="366" t="s">
        <v>282</v>
      </c>
    </row>
    <row r="59" spans="1:17" ht="14.45" customHeight="1" x14ac:dyDescent="0.2">
      <c r="A59" s="366" t="s">
        <v>240</v>
      </c>
    </row>
  </sheetData>
  <mergeCells count="26"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 xr:uid="{687B349C-1AC1-4C55-827E-4988C7F248D9}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J43 E4 J4 J17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ColWidth="8.85546875" defaultRowHeight="14.45" customHeight="1" x14ac:dyDescent="0.2"/>
  <cols>
    <col min="1" max="1" width="5.42578125" style="73" bestFit="1" customWidth="1"/>
    <col min="2" max="3" width="7.7109375" style="188" customWidth="1"/>
    <col min="4" max="5" width="7.7109375" style="73" customWidth="1"/>
    <col min="6" max="6" width="14.85546875" style="73" bestFit="1" customWidth="1"/>
    <col min="7" max="7" width="2" style="73" bestFit="1" customWidth="1"/>
    <col min="8" max="8" width="5.28515625" style="73" bestFit="1" customWidth="1"/>
    <col min="9" max="9" width="7.7109375" style="73" bestFit="1" customWidth="1"/>
    <col min="10" max="10" width="6.85546875" style="73" bestFit="1" customWidth="1"/>
    <col min="11" max="11" width="17.28515625" style="73" bestFit="1" customWidth="1"/>
    <col min="12" max="13" width="19.7109375" style="73" bestFit="1" customWidth="1"/>
    <col min="14" max="16384" width="8.85546875" style="73"/>
  </cols>
  <sheetData>
    <row r="1" spans="1:13" ht="18.600000000000001" customHeight="1" thickBot="1" x14ac:dyDescent="0.35">
      <c r="A1" s="523" t="s">
        <v>101</v>
      </c>
      <c r="B1" s="586"/>
      <c r="C1" s="586"/>
      <c r="D1" s="586"/>
      <c r="E1" s="586"/>
      <c r="F1" s="586"/>
      <c r="G1" s="586"/>
      <c r="H1" s="586"/>
      <c r="I1" s="586"/>
      <c r="J1" s="586"/>
      <c r="K1" s="586"/>
      <c r="L1" s="586"/>
      <c r="M1" s="586"/>
    </row>
    <row r="2" spans="1:13" ht="14.45" customHeight="1" x14ac:dyDescent="0.2">
      <c r="A2" s="666" t="s">
        <v>305</v>
      </c>
      <c r="B2" s="184"/>
      <c r="C2" s="18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3" ht="14.45" customHeight="1" x14ac:dyDescent="0.2">
      <c r="A3" s="72"/>
      <c r="B3" s="343"/>
      <c r="C3" s="343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3" ht="14.45" customHeight="1" x14ac:dyDescent="0.2">
      <c r="A4" s="72"/>
      <c r="B4" s="343"/>
      <c r="C4" s="343"/>
      <c r="D4" s="72"/>
      <c r="E4" s="72"/>
      <c r="F4" s="72"/>
      <c r="G4" s="72"/>
      <c r="H4" s="72"/>
      <c r="I4" s="72"/>
      <c r="J4" s="72"/>
      <c r="K4" s="72"/>
      <c r="L4" s="72"/>
      <c r="M4" s="72"/>
    </row>
    <row r="5" spans="1:13" ht="14.45" customHeight="1" x14ac:dyDescent="0.2">
      <c r="A5" s="72"/>
      <c r="B5" s="343"/>
      <c r="C5" s="343"/>
      <c r="D5" s="72"/>
      <c r="E5" s="72"/>
      <c r="F5" s="72"/>
      <c r="G5" s="72"/>
      <c r="H5" s="72"/>
      <c r="I5" s="72"/>
      <c r="J5" s="72"/>
      <c r="K5" s="72"/>
      <c r="L5" s="72"/>
      <c r="M5" s="72"/>
    </row>
    <row r="6" spans="1:13" ht="14.45" customHeight="1" x14ac:dyDescent="0.2">
      <c r="A6" s="72"/>
      <c r="B6" s="343"/>
      <c r="C6" s="343"/>
      <c r="D6" s="72"/>
      <c r="E6" s="72"/>
      <c r="F6" s="72"/>
      <c r="G6" s="72"/>
      <c r="H6" s="72"/>
      <c r="I6" s="72"/>
      <c r="J6" s="72"/>
      <c r="K6" s="72"/>
      <c r="L6" s="72"/>
      <c r="M6" s="72"/>
    </row>
    <row r="7" spans="1:13" ht="14.45" customHeight="1" x14ac:dyDescent="0.2">
      <c r="A7" s="72"/>
      <c r="B7" s="343"/>
      <c r="C7" s="343"/>
      <c r="D7" s="72"/>
      <c r="E7" s="72"/>
      <c r="F7" s="72"/>
      <c r="G7" s="72"/>
      <c r="H7" s="72"/>
      <c r="I7" s="72"/>
      <c r="J7" s="72"/>
      <c r="K7" s="72"/>
      <c r="L7" s="72"/>
      <c r="M7" s="72"/>
    </row>
    <row r="8" spans="1:13" ht="14.45" customHeight="1" x14ac:dyDescent="0.2">
      <c r="A8" s="72"/>
      <c r="B8" s="343"/>
      <c r="C8" s="343"/>
      <c r="D8" s="72"/>
      <c r="E8" s="72"/>
      <c r="F8" s="72"/>
      <c r="G8" s="72"/>
      <c r="H8" s="72"/>
      <c r="I8" s="72"/>
      <c r="J8" s="72"/>
      <c r="K8" s="72"/>
      <c r="L8" s="72"/>
      <c r="M8" s="72"/>
    </row>
    <row r="9" spans="1:13" ht="14.45" customHeight="1" x14ac:dyDescent="0.2">
      <c r="A9" s="72"/>
      <c r="B9" s="343"/>
      <c r="C9" s="343"/>
      <c r="D9" s="72"/>
      <c r="E9" s="72"/>
      <c r="F9" s="72"/>
      <c r="G9" s="72"/>
      <c r="H9" s="72"/>
      <c r="I9" s="72"/>
      <c r="J9" s="72"/>
      <c r="K9" s="72"/>
      <c r="L9" s="72"/>
      <c r="M9" s="72"/>
    </row>
    <row r="10" spans="1:13" ht="14.45" customHeight="1" x14ac:dyDescent="0.2">
      <c r="A10" s="72"/>
      <c r="B10" s="343"/>
      <c r="C10" s="343"/>
      <c r="D10" s="72"/>
      <c r="E10" s="72"/>
      <c r="F10" s="72"/>
      <c r="G10" s="72"/>
      <c r="H10" s="72"/>
      <c r="I10" s="72"/>
      <c r="J10" s="72"/>
      <c r="K10" s="72"/>
      <c r="L10" s="72"/>
      <c r="M10" s="72"/>
    </row>
    <row r="11" spans="1:13" ht="14.45" customHeight="1" x14ac:dyDescent="0.2">
      <c r="A11" s="72"/>
      <c r="B11" s="343"/>
      <c r="C11" s="343"/>
      <c r="D11" s="72"/>
      <c r="E11" s="72"/>
      <c r="F11" s="72"/>
      <c r="G11" s="72"/>
      <c r="H11" s="72"/>
      <c r="I11" s="72"/>
      <c r="J11" s="72"/>
      <c r="K11" s="72"/>
      <c r="L11" s="72"/>
      <c r="M11" s="72"/>
    </row>
    <row r="12" spans="1:13" ht="14.45" customHeight="1" x14ac:dyDescent="0.2">
      <c r="A12" s="72"/>
      <c r="B12" s="343"/>
      <c r="C12" s="343"/>
      <c r="D12" s="72"/>
      <c r="E12" s="72"/>
      <c r="F12" s="72"/>
      <c r="G12" s="72"/>
      <c r="H12" s="72"/>
      <c r="I12" s="72"/>
      <c r="J12" s="72"/>
      <c r="K12" s="72"/>
      <c r="L12" s="72"/>
      <c r="M12" s="72"/>
    </row>
    <row r="13" spans="1:13" ht="14.45" customHeight="1" x14ac:dyDescent="0.2">
      <c r="A13" s="72"/>
      <c r="B13" s="343"/>
      <c r="C13" s="343"/>
      <c r="D13" s="72"/>
      <c r="E13" s="72"/>
      <c r="F13" s="72"/>
      <c r="G13" s="72"/>
      <c r="H13" s="72"/>
      <c r="I13" s="72"/>
      <c r="J13" s="72"/>
      <c r="K13" s="72"/>
      <c r="L13" s="72"/>
      <c r="M13" s="72"/>
    </row>
    <row r="14" spans="1:13" ht="14.45" customHeight="1" x14ac:dyDescent="0.2">
      <c r="A14" s="72"/>
      <c r="B14" s="343"/>
      <c r="C14" s="343"/>
      <c r="D14" s="72"/>
      <c r="E14" s="72"/>
      <c r="F14" s="72"/>
      <c r="G14" s="72"/>
      <c r="H14" s="72"/>
      <c r="I14" s="72"/>
      <c r="J14" s="72"/>
      <c r="K14" s="72"/>
      <c r="L14" s="72"/>
      <c r="M14" s="72"/>
    </row>
    <row r="15" spans="1:13" ht="14.45" customHeight="1" x14ac:dyDescent="0.2">
      <c r="A15" s="72"/>
      <c r="B15" s="343"/>
      <c r="C15" s="343"/>
      <c r="D15" s="72"/>
      <c r="E15" s="72"/>
      <c r="F15" s="72"/>
      <c r="G15" s="72"/>
      <c r="H15" s="72"/>
      <c r="I15" s="72"/>
      <c r="J15" s="72"/>
      <c r="K15" s="72"/>
      <c r="L15" s="72"/>
      <c r="M15" s="72"/>
    </row>
    <row r="16" spans="1:13" ht="14.45" customHeight="1" x14ac:dyDescent="0.2">
      <c r="A16" s="72"/>
      <c r="B16" s="343"/>
      <c r="C16" s="343"/>
      <c r="D16" s="72"/>
      <c r="E16" s="72"/>
      <c r="F16" s="72"/>
      <c r="G16" s="72"/>
      <c r="H16" s="72"/>
      <c r="I16" s="72"/>
      <c r="J16" s="72"/>
      <c r="K16" s="72"/>
      <c r="L16" s="72"/>
      <c r="M16" s="72"/>
    </row>
    <row r="17" spans="1:13" ht="14.45" customHeight="1" x14ac:dyDescent="0.2">
      <c r="A17" s="72"/>
      <c r="B17" s="343"/>
      <c r="C17" s="343"/>
      <c r="D17" s="72"/>
      <c r="E17" s="72"/>
      <c r="F17" s="72"/>
      <c r="G17" s="72"/>
      <c r="H17" s="72"/>
      <c r="I17" s="72"/>
      <c r="J17" s="72"/>
      <c r="K17" s="72"/>
      <c r="L17" s="72"/>
      <c r="M17" s="72"/>
    </row>
    <row r="18" spans="1:13" ht="14.45" customHeight="1" x14ac:dyDescent="0.2">
      <c r="A18" s="72"/>
      <c r="B18" s="343"/>
      <c r="C18" s="343"/>
      <c r="D18" s="72"/>
      <c r="E18" s="72"/>
      <c r="F18" s="72"/>
      <c r="G18" s="72"/>
      <c r="H18" s="72"/>
      <c r="I18" s="72"/>
      <c r="J18" s="72"/>
      <c r="K18" s="72"/>
      <c r="L18" s="72"/>
      <c r="M18" s="72"/>
    </row>
    <row r="19" spans="1:13" ht="14.45" customHeight="1" x14ac:dyDescent="0.2">
      <c r="A19" s="72"/>
      <c r="B19" s="343"/>
      <c r="C19" s="343"/>
      <c r="D19" s="72"/>
      <c r="E19" s="72"/>
      <c r="F19" s="72"/>
      <c r="G19" s="72"/>
      <c r="H19" s="72"/>
      <c r="I19" s="72"/>
      <c r="J19" s="72"/>
      <c r="K19" s="72"/>
      <c r="L19" s="72"/>
      <c r="M19" s="72"/>
    </row>
    <row r="20" spans="1:13" ht="14.45" customHeight="1" x14ac:dyDescent="0.2">
      <c r="A20" s="72"/>
      <c r="B20" s="343"/>
      <c r="C20" s="343"/>
      <c r="D20" s="72"/>
      <c r="E20" s="72"/>
      <c r="F20" s="72"/>
      <c r="G20" s="72"/>
      <c r="H20" s="72"/>
      <c r="I20" s="72"/>
      <c r="J20" s="72"/>
      <c r="K20" s="72"/>
      <c r="L20" s="72"/>
      <c r="M20" s="72"/>
    </row>
    <row r="21" spans="1:13" ht="14.45" customHeight="1" x14ac:dyDescent="0.2">
      <c r="A21" s="72"/>
      <c r="B21" s="343"/>
      <c r="C21" s="343"/>
      <c r="D21" s="72"/>
      <c r="E21" s="72"/>
      <c r="F21" s="72"/>
      <c r="G21" s="72"/>
      <c r="H21" s="72"/>
      <c r="I21" s="72"/>
      <c r="J21" s="72"/>
      <c r="K21" s="72"/>
      <c r="L21" s="72"/>
      <c r="M21" s="72"/>
    </row>
    <row r="22" spans="1:13" ht="14.45" customHeight="1" x14ac:dyDescent="0.2">
      <c r="A22" s="72"/>
      <c r="B22" s="343"/>
      <c r="C22" s="343"/>
      <c r="D22" s="72"/>
      <c r="E22" s="72"/>
      <c r="F22" s="72"/>
      <c r="G22" s="72"/>
      <c r="H22" s="72"/>
      <c r="I22" s="72"/>
      <c r="J22" s="72"/>
      <c r="K22" s="72"/>
      <c r="L22" s="72"/>
      <c r="M22" s="72"/>
    </row>
    <row r="23" spans="1:13" ht="14.45" customHeight="1" x14ac:dyDescent="0.2">
      <c r="A23" s="72"/>
      <c r="B23" s="343"/>
      <c r="C23" s="343"/>
      <c r="D23" s="72"/>
      <c r="E23" s="72"/>
      <c r="F23" s="72"/>
      <c r="G23" s="72"/>
      <c r="H23" s="72"/>
      <c r="I23" s="72"/>
      <c r="J23" s="72"/>
      <c r="K23" s="72"/>
      <c r="L23" s="72"/>
      <c r="M23" s="72"/>
    </row>
    <row r="24" spans="1:13" ht="14.45" customHeight="1" x14ac:dyDescent="0.2">
      <c r="A24" s="72"/>
      <c r="B24" s="343"/>
      <c r="C24" s="343"/>
      <c r="D24" s="72"/>
      <c r="E24" s="72"/>
      <c r="F24" s="72"/>
      <c r="G24" s="72"/>
      <c r="H24" s="72"/>
      <c r="I24" s="72"/>
      <c r="J24" s="72"/>
      <c r="K24" s="72"/>
      <c r="L24" s="72"/>
      <c r="M24" s="72"/>
    </row>
    <row r="25" spans="1:13" ht="14.45" customHeight="1" x14ac:dyDescent="0.2">
      <c r="A25" s="72"/>
      <c r="B25" s="343"/>
      <c r="C25" s="343"/>
      <c r="D25" s="72"/>
      <c r="E25" s="72"/>
      <c r="F25" s="72"/>
      <c r="G25" s="72"/>
      <c r="H25" s="72"/>
      <c r="I25" s="72"/>
      <c r="J25" s="72"/>
      <c r="K25" s="72"/>
      <c r="L25" s="72"/>
      <c r="M25" s="72"/>
    </row>
    <row r="26" spans="1:13" ht="14.45" customHeight="1" x14ac:dyDescent="0.2">
      <c r="A26" s="72"/>
      <c r="B26" s="343"/>
      <c r="C26" s="343"/>
      <c r="D26" s="72"/>
      <c r="E26" s="72"/>
      <c r="F26" s="72"/>
      <c r="G26" s="72"/>
      <c r="H26" s="72"/>
      <c r="I26" s="72"/>
      <c r="J26" s="72"/>
      <c r="K26" s="72"/>
      <c r="L26" s="72"/>
      <c r="M26" s="72"/>
    </row>
    <row r="27" spans="1:13" ht="14.45" customHeight="1" x14ac:dyDescent="0.2">
      <c r="A27" s="72"/>
      <c r="B27" s="343"/>
      <c r="C27" s="343"/>
      <c r="D27" s="72"/>
      <c r="E27" s="72"/>
      <c r="F27" s="72"/>
      <c r="G27" s="72"/>
      <c r="H27" s="72"/>
      <c r="I27" s="72"/>
      <c r="J27" s="72"/>
      <c r="K27" s="72"/>
      <c r="L27" s="72"/>
      <c r="M27" s="72"/>
    </row>
    <row r="28" spans="1:13" ht="14.45" customHeight="1" x14ac:dyDescent="0.2">
      <c r="A28" s="72"/>
      <c r="B28" s="343"/>
      <c r="C28" s="343"/>
      <c r="D28" s="72"/>
      <c r="E28" s="72"/>
      <c r="F28" s="72"/>
      <c r="G28" s="72"/>
      <c r="H28" s="72"/>
      <c r="I28" s="72"/>
      <c r="J28" s="72"/>
      <c r="K28" s="72"/>
      <c r="L28" s="72"/>
      <c r="M28" s="72"/>
    </row>
    <row r="29" spans="1:13" ht="14.45" customHeight="1" x14ac:dyDescent="0.2">
      <c r="A29" s="72"/>
      <c r="B29" s="343"/>
      <c r="C29" s="343"/>
      <c r="D29" s="72"/>
      <c r="E29" s="72"/>
      <c r="F29" s="72"/>
      <c r="G29" s="72"/>
      <c r="H29" s="72"/>
      <c r="I29" s="72"/>
      <c r="J29" s="72"/>
      <c r="K29" s="72"/>
      <c r="L29" s="72"/>
      <c r="M29" s="72"/>
    </row>
    <row r="30" spans="1:13" ht="14.45" customHeight="1" thickBot="1" x14ac:dyDescent="0.25">
      <c r="A30" s="72"/>
      <c r="B30" s="343"/>
      <c r="C30" s="343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13" ht="14.45" customHeight="1" x14ac:dyDescent="0.2">
      <c r="A31" s="161"/>
      <c r="B31" s="639" t="s">
        <v>69</v>
      </c>
      <c r="C31" s="640"/>
      <c r="D31" s="640"/>
      <c r="E31" s="641"/>
      <c r="F31" s="153" t="s">
        <v>69</v>
      </c>
      <c r="G31" s="75"/>
      <c r="H31" s="75"/>
      <c r="I31" s="72"/>
      <c r="J31" s="72"/>
      <c r="K31" s="72"/>
      <c r="L31" s="72"/>
      <c r="M31" s="72"/>
    </row>
    <row r="32" spans="1:13" ht="14.45" customHeight="1" thickBot="1" x14ac:dyDescent="0.25">
      <c r="A32" s="162" t="s">
        <v>54</v>
      </c>
      <c r="B32" s="154" t="s">
        <v>72</v>
      </c>
      <c r="C32" s="155" t="s">
        <v>73</v>
      </c>
      <c r="D32" s="155" t="s">
        <v>74</v>
      </c>
      <c r="E32" s="156" t="s">
        <v>2</v>
      </c>
      <c r="F32" s="157" t="s">
        <v>75</v>
      </c>
      <c r="G32" s="344"/>
      <c r="H32" s="344" t="s">
        <v>102</v>
      </c>
      <c r="I32" s="72"/>
      <c r="J32" s="72"/>
      <c r="K32" s="72"/>
      <c r="L32" s="72"/>
      <c r="M32" s="72"/>
    </row>
    <row r="33" spans="1:13" ht="14.45" customHeight="1" x14ac:dyDescent="0.2">
      <c r="A33" s="158" t="s">
        <v>89</v>
      </c>
      <c r="B33" s="185">
        <v>64</v>
      </c>
      <c r="C33" s="185">
        <v>44</v>
      </c>
      <c r="D33" s="76">
        <f>IF(C33="","",C33-B33)</f>
        <v>-20</v>
      </c>
      <c r="E33" s="77">
        <f>IF(C33="","",C33/B33)</f>
        <v>0.6875</v>
      </c>
      <c r="F33" s="78">
        <v>16</v>
      </c>
      <c r="G33" s="344">
        <v>0</v>
      </c>
      <c r="H33" s="345">
        <v>1</v>
      </c>
      <c r="I33" s="72"/>
      <c r="J33" s="72"/>
      <c r="K33" s="72"/>
      <c r="L33" s="72"/>
      <c r="M33" s="72"/>
    </row>
    <row r="34" spans="1:13" ht="14.45" customHeight="1" x14ac:dyDescent="0.2">
      <c r="A34" s="159" t="s">
        <v>90</v>
      </c>
      <c r="B34" s="186">
        <v>121</v>
      </c>
      <c r="C34" s="186">
        <v>107</v>
      </c>
      <c r="D34" s="79">
        <f t="shared" ref="D34:D45" si="0">IF(C34="","",C34-B34)</f>
        <v>-14</v>
      </c>
      <c r="E34" s="80">
        <f t="shared" ref="E34:E45" si="1">IF(C34="","",C34/B34)</f>
        <v>0.88429752066115708</v>
      </c>
      <c r="F34" s="81">
        <v>39</v>
      </c>
      <c r="G34" s="344">
        <v>1</v>
      </c>
      <c r="H34" s="345">
        <v>1</v>
      </c>
      <c r="I34" s="72"/>
      <c r="J34" s="72"/>
      <c r="K34" s="72"/>
      <c r="L34" s="72"/>
      <c r="M34" s="72"/>
    </row>
    <row r="35" spans="1:13" ht="14.45" customHeight="1" x14ac:dyDescent="0.2">
      <c r="A35" s="159" t="s">
        <v>91</v>
      </c>
      <c r="B35" s="186">
        <v>281</v>
      </c>
      <c r="C35" s="186">
        <v>214</v>
      </c>
      <c r="D35" s="79">
        <f t="shared" si="0"/>
        <v>-67</v>
      </c>
      <c r="E35" s="80">
        <f t="shared" si="1"/>
        <v>0.76156583629893237</v>
      </c>
      <c r="F35" s="81">
        <v>68</v>
      </c>
      <c r="G35" s="346"/>
      <c r="H35" s="346"/>
      <c r="I35" s="72"/>
      <c r="J35" s="72"/>
      <c r="K35" s="72"/>
      <c r="L35" s="72"/>
      <c r="M35" s="72"/>
    </row>
    <row r="36" spans="1:13" ht="14.45" customHeight="1" x14ac:dyDescent="0.2">
      <c r="A36" s="159" t="s">
        <v>92</v>
      </c>
      <c r="B36" s="186">
        <v>339</v>
      </c>
      <c r="C36" s="186">
        <v>286</v>
      </c>
      <c r="D36" s="79">
        <f t="shared" si="0"/>
        <v>-53</v>
      </c>
      <c r="E36" s="80">
        <f t="shared" si="1"/>
        <v>0.84365781710914456</v>
      </c>
      <c r="F36" s="81">
        <v>98</v>
      </c>
      <c r="G36" s="346"/>
      <c r="H36" s="346"/>
      <c r="I36" s="72"/>
      <c r="J36" s="72"/>
      <c r="K36" s="72"/>
      <c r="L36" s="72"/>
      <c r="M36" s="72"/>
    </row>
    <row r="37" spans="1:13" ht="14.45" customHeight="1" x14ac:dyDescent="0.2">
      <c r="A37" s="159" t="s">
        <v>93</v>
      </c>
      <c r="B37" s="186">
        <v>447</v>
      </c>
      <c r="C37" s="186">
        <v>363</v>
      </c>
      <c r="D37" s="79">
        <f t="shared" si="0"/>
        <v>-84</v>
      </c>
      <c r="E37" s="80">
        <f t="shared" si="1"/>
        <v>0.81208053691275173</v>
      </c>
      <c r="F37" s="81">
        <v>80</v>
      </c>
      <c r="G37" s="346"/>
      <c r="H37" s="346"/>
      <c r="I37" s="72"/>
      <c r="J37" s="72"/>
      <c r="K37" s="72"/>
      <c r="L37" s="72"/>
      <c r="M37" s="72"/>
    </row>
    <row r="38" spans="1:13" ht="14.45" customHeight="1" x14ac:dyDescent="0.2">
      <c r="A38" s="159" t="s">
        <v>94</v>
      </c>
      <c r="B38" s="186">
        <v>512</v>
      </c>
      <c r="C38" s="186">
        <v>404</v>
      </c>
      <c r="D38" s="79">
        <f t="shared" si="0"/>
        <v>-108</v>
      </c>
      <c r="E38" s="80">
        <f t="shared" si="1"/>
        <v>0.7890625</v>
      </c>
      <c r="F38" s="81">
        <v>82</v>
      </c>
      <c r="G38" s="346"/>
      <c r="H38" s="346"/>
      <c r="I38" s="72"/>
      <c r="J38" s="72"/>
      <c r="K38" s="72"/>
      <c r="L38" s="72"/>
      <c r="M38" s="72"/>
    </row>
    <row r="39" spans="1:13" ht="14.45" customHeight="1" x14ac:dyDescent="0.2">
      <c r="A39" s="159" t="s">
        <v>95</v>
      </c>
      <c r="B39" s="186">
        <v>705</v>
      </c>
      <c r="C39" s="186">
        <v>508</v>
      </c>
      <c r="D39" s="79">
        <f t="shared" si="0"/>
        <v>-197</v>
      </c>
      <c r="E39" s="80">
        <f t="shared" si="1"/>
        <v>0.72056737588652486</v>
      </c>
      <c r="F39" s="81">
        <v>82</v>
      </c>
      <c r="G39" s="346"/>
      <c r="H39" s="346"/>
      <c r="I39" s="72"/>
      <c r="J39" s="72"/>
      <c r="K39" s="72"/>
      <c r="L39" s="72"/>
      <c r="M39" s="72"/>
    </row>
    <row r="40" spans="1:13" ht="14.45" customHeight="1" x14ac:dyDescent="0.2">
      <c r="A40" s="159" t="s">
        <v>96</v>
      </c>
      <c r="B40" s="186">
        <v>741</v>
      </c>
      <c r="C40" s="186">
        <v>539</v>
      </c>
      <c r="D40" s="79">
        <f t="shared" si="0"/>
        <v>-202</v>
      </c>
      <c r="E40" s="80">
        <f t="shared" si="1"/>
        <v>0.7273954116059379</v>
      </c>
      <c r="F40" s="81">
        <v>88</v>
      </c>
      <c r="G40" s="346"/>
      <c r="H40" s="346"/>
      <c r="I40" s="72"/>
      <c r="J40" s="72"/>
      <c r="K40" s="72"/>
      <c r="L40" s="72"/>
      <c r="M40" s="72"/>
    </row>
    <row r="41" spans="1:13" ht="14.45" customHeight="1" x14ac:dyDescent="0.2">
      <c r="A41" s="159" t="s">
        <v>97</v>
      </c>
      <c r="B41" s="186">
        <v>824</v>
      </c>
      <c r="C41" s="186">
        <v>633</v>
      </c>
      <c r="D41" s="79">
        <f t="shared" si="0"/>
        <v>-191</v>
      </c>
      <c r="E41" s="80">
        <f t="shared" si="1"/>
        <v>0.76820388349514568</v>
      </c>
      <c r="F41" s="81">
        <v>129</v>
      </c>
      <c r="G41" s="346"/>
      <c r="H41" s="346"/>
      <c r="I41" s="72"/>
      <c r="J41" s="72"/>
      <c r="K41" s="72"/>
      <c r="L41" s="72"/>
      <c r="M41" s="72"/>
    </row>
    <row r="42" spans="1:13" ht="14.45" customHeight="1" x14ac:dyDescent="0.2">
      <c r="A42" s="159" t="s">
        <v>98</v>
      </c>
      <c r="B42" s="186">
        <v>890</v>
      </c>
      <c r="C42" s="186">
        <v>663</v>
      </c>
      <c r="D42" s="79">
        <f t="shared" si="0"/>
        <v>-227</v>
      </c>
      <c r="E42" s="80">
        <f t="shared" si="1"/>
        <v>0.74494382022471906</v>
      </c>
      <c r="F42" s="81">
        <v>145</v>
      </c>
      <c r="G42" s="346"/>
      <c r="H42" s="346"/>
      <c r="I42" s="72"/>
      <c r="J42" s="72"/>
      <c r="K42" s="72"/>
      <c r="L42" s="72"/>
      <c r="M42" s="72"/>
    </row>
    <row r="43" spans="1:13" ht="14.45" customHeight="1" x14ac:dyDescent="0.2">
      <c r="A43" s="159" t="s">
        <v>99</v>
      </c>
      <c r="B43" s="186">
        <v>957</v>
      </c>
      <c r="C43" s="186">
        <v>724</v>
      </c>
      <c r="D43" s="79">
        <f t="shared" si="0"/>
        <v>-233</v>
      </c>
      <c r="E43" s="80">
        <f t="shared" si="1"/>
        <v>0.75653082549634276</v>
      </c>
      <c r="F43" s="81">
        <v>159</v>
      </c>
      <c r="G43" s="346"/>
      <c r="H43" s="346"/>
      <c r="I43" s="72"/>
      <c r="J43" s="72"/>
      <c r="K43" s="72"/>
      <c r="L43" s="72"/>
      <c r="M43" s="72"/>
    </row>
    <row r="44" spans="1:13" ht="14.45" customHeight="1" x14ac:dyDescent="0.2">
      <c r="A44" s="159" t="s">
        <v>100</v>
      </c>
      <c r="B44" s="186">
        <v>1088</v>
      </c>
      <c r="C44" s="186">
        <v>801</v>
      </c>
      <c r="D44" s="79">
        <f t="shared" si="0"/>
        <v>-287</v>
      </c>
      <c r="E44" s="80">
        <f t="shared" si="1"/>
        <v>0.73621323529411764</v>
      </c>
      <c r="F44" s="81">
        <v>166</v>
      </c>
      <c r="G44" s="346"/>
      <c r="H44" s="346"/>
      <c r="I44" s="72"/>
      <c r="J44" s="72"/>
      <c r="K44" s="72"/>
      <c r="L44" s="72"/>
      <c r="M44" s="72"/>
    </row>
    <row r="45" spans="1:13" ht="14.45" customHeight="1" thickBot="1" x14ac:dyDescent="0.25">
      <c r="A45" s="160" t="s">
        <v>103</v>
      </c>
      <c r="B45" s="187"/>
      <c r="C45" s="187"/>
      <c r="D45" s="82" t="str">
        <f t="shared" si="0"/>
        <v/>
      </c>
      <c r="E45" s="83" t="str">
        <f t="shared" si="1"/>
        <v/>
      </c>
      <c r="F45" s="84"/>
      <c r="G45" s="346"/>
      <c r="H45" s="346"/>
      <c r="I45" s="72"/>
      <c r="J45" s="72"/>
      <c r="K45" s="72"/>
      <c r="L45" s="72"/>
      <c r="M45" s="72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 xr:uid="{2A87A023-E651-455A-BA35-45AA37249C6A}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List24">
    <tabColor theme="0" tint="-0.249977111117893"/>
    <pageSetUpPr fitToPage="1"/>
  </sheetPr>
  <dimension ref="A1:Y94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ColWidth="8.85546875" defaultRowHeight="14.45" customHeight="1" outlineLevelCol="1" x14ac:dyDescent="0.2"/>
  <cols>
    <col min="1" max="1" width="6.140625" style="88" customWidth="1"/>
    <col min="2" max="2" width="6.5703125" style="199" hidden="1" customWidth="1" outlineLevel="1"/>
    <col min="3" max="3" width="5.85546875" style="199" hidden="1" customWidth="1" outlineLevel="1"/>
    <col min="4" max="4" width="7.7109375" style="199" hidden="1" customWidth="1" outlineLevel="1"/>
    <col min="5" max="5" width="6.5703125" style="91" customWidth="1" collapsed="1"/>
    <col min="6" max="6" width="5.85546875" style="91" customWidth="1"/>
    <col min="7" max="7" width="7.7109375" style="91" customWidth="1"/>
    <col min="8" max="8" width="6.5703125" style="91" customWidth="1"/>
    <col min="9" max="9" width="5.85546875" style="91" customWidth="1"/>
    <col min="10" max="10" width="7.7109375" style="91" customWidth="1"/>
    <col min="11" max="11" width="9.140625" style="91" customWidth="1"/>
    <col min="12" max="12" width="3.85546875" style="91" customWidth="1"/>
    <col min="13" max="13" width="4.28515625" style="91" customWidth="1"/>
    <col min="14" max="14" width="5.42578125" style="91" customWidth="1"/>
    <col min="15" max="15" width="4" style="91" customWidth="1"/>
    <col min="16" max="16" width="55.5703125" style="85" customWidth="1"/>
    <col min="17" max="17" width="7.7109375" style="89" hidden="1" customWidth="1" outlineLevel="1"/>
    <col min="18" max="18" width="5.85546875" style="89" hidden="1" customWidth="1" outlineLevel="1"/>
    <col min="19" max="19" width="7.7109375" style="89" customWidth="1" collapsed="1"/>
    <col min="20" max="20" width="6" style="89" customWidth="1"/>
    <col min="21" max="22" width="9.7109375" style="199" customWidth="1"/>
    <col min="23" max="23" width="7.7109375" style="199" customWidth="1"/>
    <col min="24" max="24" width="6.140625" style="92" customWidth="1"/>
    <col min="25" max="25" width="17.140625" style="90" bestFit="1" customWidth="1"/>
    <col min="26" max="16384" width="8.85546875" style="85"/>
  </cols>
  <sheetData>
    <row r="1" spans="1:25" s="296" customFormat="1" ht="18.600000000000001" customHeight="1" thickBot="1" x14ac:dyDescent="0.35">
      <c r="A1" s="563" t="s">
        <v>4305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T1" s="493"/>
      <c r="U1" s="493"/>
      <c r="V1" s="493"/>
      <c r="W1" s="493"/>
      <c r="X1" s="493"/>
      <c r="Y1" s="493"/>
    </row>
    <row r="2" spans="1:25" ht="14.45" customHeight="1" thickBot="1" x14ac:dyDescent="0.25">
      <c r="A2" s="666" t="s">
        <v>305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7"/>
      <c r="Q2" s="347"/>
      <c r="R2" s="347"/>
      <c r="S2" s="347"/>
      <c r="T2" s="347"/>
      <c r="U2" s="348"/>
      <c r="V2" s="348"/>
      <c r="W2" s="348"/>
      <c r="X2" s="347"/>
      <c r="Y2" s="349"/>
    </row>
    <row r="3" spans="1:25" s="86" customFormat="1" ht="14.45" customHeight="1" x14ac:dyDescent="0.2">
      <c r="A3" s="650" t="s">
        <v>61</v>
      </c>
      <c r="B3" s="652">
        <v>2015</v>
      </c>
      <c r="C3" s="653"/>
      <c r="D3" s="654"/>
      <c r="E3" s="652">
        <v>2018</v>
      </c>
      <c r="F3" s="653"/>
      <c r="G3" s="654"/>
      <c r="H3" s="652">
        <v>2019</v>
      </c>
      <c r="I3" s="653"/>
      <c r="J3" s="654"/>
      <c r="K3" s="655" t="s">
        <v>62</v>
      </c>
      <c r="L3" s="644" t="s">
        <v>63</v>
      </c>
      <c r="M3" s="644" t="s">
        <v>64</v>
      </c>
      <c r="N3" s="644" t="s">
        <v>65</v>
      </c>
      <c r="O3" s="247" t="s">
        <v>66</v>
      </c>
      <c r="P3" s="646" t="s">
        <v>67</v>
      </c>
      <c r="Q3" s="648" t="s">
        <v>246</v>
      </c>
      <c r="R3" s="649"/>
      <c r="S3" s="648" t="s">
        <v>68</v>
      </c>
      <c r="T3" s="649"/>
      <c r="U3" s="642" t="s">
        <v>69</v>
      </c>
      <c r="V3" s="643"/>
      <c r="W3" s="643"/>
      <c r="X3" s="643"/>
      <c r="Y3" s="200" t="s">
        <v>69</v>
      </c>
    </row>
    <row r="4" spans="1:25" s="87" customFormat="1" ht="14.45" customHeight="1" thickBot="1" x14ac:dyDescent="0.3">
      <c r="A4" s="651"/>
      <c r="B4" s="428" t="s">
        <v>70</v>
      </c>
      <c r="C4" s="426" t="s">
        <v>58</v>
      </c>
      <c r="D4" s="429" t="s">
        <v>71</v>
      </c>
      <c r="E4" s="428" t="s">
        <v>70</v>
      </c>
      <c r="F4" s="426" t="s">
        <v>58</v>
      </c>
      <c r="G4" s="429" t="s">
        <v>71</v>
      </c>
      <c r="H4" s="428" t="s">
        <v>70</v>
      </c>
      <c r="I4" s="426" t="s">
        <v>58</v>
      </c>
      <c r="J4" s="429" t="s">
        <v>71</v>
      </c>
      <c r="K4" s="656"/>
      <c r="L4" s="645"/>
      <c r="M4" s="645"/>
      <c r="N4" s="645"/>
      <c r="O4" s="430"/>
      <c r="P4" s="647"/>
      <c r="Q4" s="431" t="s">
        <v>59</v>
      </c>
      <c r="R4" s="432" t="s">
        <v>58</v>
      </c>
      <c r="S4" s="431" t="s">
        <v>59</v>
      </c>
      <c r="T4" s="432" t="s">
        <v>58</v>
      </c>
      <c r="U4" s="433" t="s">
        <v>72</v>
      </c>
      <c r="V4" s="427" t="s">
        <v>73</v>
      </c>
      <c r="W4" s="427" t="s">
        <v>74</v>
      </c>
      <c r="X4" s="434" t="s">
        <v>2</v>
      </c>
      <c r="Y4" s="435" t="s">
        <v>75</v>
      </c>
    </row>
    <row r="5" spans="1:25" s="436" customFormat="1" ht="14.45" customHeight="1" x14ac:dyDescent="0.2">
      <c r="A5" s="846" t="s">
        <v>4133</v>
      </c>
      <c r="B5" s="847">
        <v>1</v>
      </c>
      <c r="C5" s="848">
        <v>15.2</v>
      </c>
      <c r="D5" s="849">
        <v>27</v>
      </c>
      <c r="E5" s="850"/>
      <c r="F5" s="851"/>
      <c r="G5" s="852"/>
      <c r="H5" s="853"/>
      <c r="I5" s="851"/>
      <c r="J5" s="852"/>
      <c r="K5" s="854">
        <v>13.87</v>
      </c>
      <c r="L5" s="853">
        <v>11</v>
      </c>
      <c r="M5" s="853">
        <v>72</v>
      </c>
      <c r="N5" s="855">
        <v>24</v>
      </c>
      <c r="O5" s="853" t="s">
        <v>4134</v>
      </c>
      <c r="P5" s="856" t="s">
        <v>4135</v>
      </c>
      <c r="Q5" s="857">
        <f>H5-B5</f>
        <v>-1</v>
      </c>
      <c r="R5" s="870">
        <f>I5-C5</f>
        <v>-15.2</v>
      </c>
      <c r="S5" s="857">
        <f>H5-E5</f>
        <v>0</v>
      </c>
      <c r="T5" s="870">
        <f>I5-F5</f>
        <v>0</v>
      </c>
      <c r="U5" s="880" t="s">
        <v>520</v>
      </c>
      <c r="V5" s="881" t="s">
        <v>520</v>
      </c>
      <c r="W5" s="881" t="s">
        <v>520</v>
      </c>
      <c r="X5" s="882" t="s">
        <v>520</v>
      </c>
      <c r="Y5" s="883"/>
    </row>
    <row r="6" spans="1:25" ht="14.45" customHeight="1" x14ac:dyDescent="0.2">
      <c r="A6" s="844" t="s">
        <v>4136</v>
      </c>
      <c r="B6" s="827">
        <v>1</v>
      </c>
      <c r="C6" s="828">
        <v>7.09</v>
      </c>
      <c r="D6" s="829">
        <v>5</v>
      </c>
      <c r="E6" s="817"/>
      <c r="F6" s="818"/>
      <c r="G6" s="819"/>
      <c r="H6" s="813"/>
      <c r="I6" s="811"/>
      <c r="J6" s="812"/>
      <c r="K6" s="814">
        <v>7.09</v>
      </c>
      <c r="L6" s="813">
        <v>5</v>
      </c>
      <c r="M6" s="813">
        <v>45</v>
      </c>
      <c r="N6" s="815">
        <v>15</v>
      </c>
      <c r="O6" s="813" t="s">
        <v>4134</v>
      </c>
      <c r="P6" s="826" t="s">
        <v>4137</v>
      </c>
      <c r="Q6" s="816">
        <f t="shared" ref="Q6:R69" si="0">H6-B6</f>
        <v>-1</v>
      </c>
      <c r="R6" s="871">
        <f t="shared" si="0"/>
        <v>-7.09</v>
      </c>
      <c r="S6" s="816">
        <f t="shared" ref="S6:S69" si="1">H6-E6</f>
        <v>0</v>
      </c>
      <c r="T6" s="871">
        <f t="shared" ref="T6:T69" si="2">I6-F6</f>
        <v>0</v>
      </c>
      <c r="U6" s="878" t="s">
        <v>520</v>
      </c>
      <c r="V6" s="827" t="s">
        <v>520</v>
      </c>
      <c r="W6" s="827" t="s">
        <v>520</v>
      </c>
      <c r="X6" s="876" t="s">
        <v>520</v>
      </c>
      <c r="Y6" s="874"/>
    </row>
    <row r="7" spans="1:25" ht="14.45" customHeight="1" x14ac:dyDescent="0.2">
      <c r="A7" s="845" t="s">
        <v>4138</v>
      </c>
      <c r="B7" s="831"/>
      <c r="C7" s="832"/>
      <c r="D7" s="830"/>
      <c r="E7" s="833">
        <v>2</v>
      </c>
      <c r="F7" s="834">
        <v>16.11</v>
      </c>
      <c r="G7" s="820">
        <v>11</v>
      </c>
      <c r="H7" s="835">
        <v>1</v>
      </c>
      <c r="I7" s="836">
        <v>7.77</v>
      </c>
      <c r="J7" s="821">
        <v>9</v>
      </c>
      <c r="K7" s="837">
        <v>7.77</v>
      </c>
      <c r="L7" s="835">
        <v>5</v>
      </c>
      <c r="M7" s="835">
        <v>45</v>
      </c>
      <c r="N7" s="838">
        <v>15</v>
      </c>
      <c r="O7" s="835" t="s">
        <v>4134</v>
      </c>
      <c r="P7" s="839" t="s">
        <v>4139</v>
      </c>
      <c r="Q7" s="840">
        <f t="shared" si="0"/>
        <v>1</v>
      </c>
      <c r="R7" s="872">
        <f t="shared" si="0"/>
        <v>7.77</v>
      </c>
      <c r="S7" s="840">
        <f t="shared" si="1"/>
        <v>-1</v>
      </c>
      <c r="T7" s="872">
        <f t="shared" si="2"/>
        <v>-8.34</v>
      </c>
      <c r="U7" s="879">
        <v>15</v>
      </c>
      <c r="V7" s="831">
        <v>9</v>
      </c>
      <c r="W7" s="831">
        <v>-6</v>
      </c>
      <c r="X7" s="877">
        <v>0.6</v>
      </c>
      <c r="Y7" s="875"/>
    </row>
    <row r="8" spans="1:25" ht="14.45" customHeight="1" x14ac:dyDescent="0.2">
      <c r="A8" s="844" t="s">
        <v>4140</v>
      </c>
      <c r="B8" s="827">
        <v>1</v>
      </c>
      <c r="C8" s="828">
        <v>33.15</v>
      </c>
      <c r="D8" s="829">
        <v>28</v>
      </c>
      <c r="E8" s="817">
        <v>4</v>
      </c>
      <c r="F8" s="818">
        <v>135.38999999999999</v>
      </c>
      <c r="G8" s="819">
        <v>48</v>
      </c>
      <c r="H8" s="813">
        <v>1</v>
      </c>
      <c r="I8" s="811">
        <v>33.15</v>
      </c>
      <c r="J8" s="812">
        <v>38</v>
      </c>
      <c r="K8" s="814">
        <v>33.15</v>
      </c>
      <c r="L8" s="813">
        <v>22</v>
      </c>
      <c r="M8" s="813">
        <v>135</v>
      </c>
      <c r="N8" s="815">
        <v>45</v>
      </c>
      <c r="O8" s="813" t="s">
        <v>4134</v>
      </c>
      <c r="P8" s="826" t="s">
        <v>4141</v>
      </c>
      <c r="Q8" s="816">
        <f t="shared" si="0"/>
        <v>0</v>
      </c>
      <c r="R8" s="871">
        <f t="shared" si="0"/>
        <v>0</v>
      </c>
      <c r="S8" s="816">
        <f t="shared" si="1"/>
        <v>-3</v>
      </c>
      <c r="T8" s="871">
        <f t="shared" si="2"/>
        <v>-102.23999999999998</v>
      </c>
      <c r="U8" s="878">
        <v>45</v>
      </c>
      <c r="V8" s="827">
        <v>38</v>
      </c>
      <c r="W8" s="827">
        <v>-7</v>
      </c>
      <c r="X8" s="876">
        <v>0.84444444444444444</v>
      </c>
      <c r="Y8" s="874"/>
    </row>
    <row r="9" spans="1:25" ht="14.45" customHeight="1" x14ac:dyDescent="0.2">
      <c r="A9" s="844" t="s">
        <v>4142</v>
      </c>
      <c r="B9" s="827"/>
      <c r="C9" s="828"/>
      <c r="D9" s="829"/>
      <c r="E9" s="817">
        <v>1</v>
      </c>
      <c r="F9" s="818">
        <v>20.05</v>
      </c>
      <c r="G9" s="819">
        <v>15</v>
      </c>
      <c r="H9" s="813"/>
      <c r="I9" s="811"/>
      <c r="J9" s="812"/>
      <c r="K9" s="814">
        <v>20.05</v>
      </c>
      <c r="L9" s="813">
        <v>11</v>
      </c>
      <c r="M9" s="813">
        <v>90</v>
      </c>
      <c r="N9" s="815">
        <v>30</v>
      </c>
      <c r="O9" s="813" t="s">
        <v>4134</v>
      </c>
      <c r="P9" s="826" t="s">
        <v>4143</v>
      </c>
      <c r="Q9" s="816">
        <f t="shared" si="0"/>
        <v>0</v>
      </c>
      <c r="R9" s="871">
        <f t="shared" si="0"/>
        <v>0</v>
      </c>
      <c r="S9" s="816">
        <f t="shared" si="1"/>
        <v>-1</v>
      </c>
      <c r="T9" s="871">
        <f t="shared" si="2"/>
        <v>-20.05</v>
      </c>
      <c r="U9" s="878" t="s">
        <v>520</v>
      </c>
      <c r="V9" s="827" t="s">
        <v>520</v>
      </c>
      <c r="W9" s="827" t="s">
        <v>520</v>
      </c>
      <c r="X9" s="876" t="s">
        <v>520</v>
      </c>
      <c r="Y9" s="874"/>
    </row>
    <row r="10" spans="1:25" ht="14.45" customHeight="1" x14ac:dyDescent="0.2">
      <c r="A10" s="845" t="s">
        <v>4144</v>
      </c>
      <c r="B10" s="831">
        <v>2</v>
      </c>
      <c r="C10" s="832">
        <v>40.11</v>
      </c>
      <c r="D10" s="830">
        <v>27</v>
      </c>
      <c r="E10" s="833">
        <v>2</v>
      </c>
      <c r="F10" s="834">
        <v>40.11</v>
      </c>
      <c r="G10" s="820">
        <v>19.5</v>
      </c>
      <c r="H10" s="835"/>
      <c r="I10" s="836"/>
      <c r="J10" s="821"/>
      <c r="K10" s="837">
        <v>20.05</v>
      </c>
      <c r="L10" s="835">
        <v>11</v>
      </c>
      <c r="M10" s="835">
        <v>90</v>
      </c>
      <c r="N10" s="838">
        <v>30</v>
      </c>
      <c r="O10" s="835" t="s">
        <v>4134</v>
      </c>
      <c r="P10" s="839" t="s">
        <v>4143</v>
      </c>
      <c r="Q10" s="840">
        <f t="shared" si="0"/>
        <v>-2</v>
      </c>
      <c r="R10" s="872">
        <f t="shared" si="0"/>
        <v>-40.11</v>
      </c>
      <c r="S10" s="840">
        <f t="shared" si="1"/>
        <v>-2</v>
      </c>
      <c r="T10" s="872">
        <f t="shared" si="2"/>
        <v>-40.11</v>
      </c>
      <c r="U10" s="879" t="s">
        <v>520</v>
      </c>
      <c r="V10" s="831" t="s">
        <v>520</v>
      </c>
      <c r="W10" s="831" t="s">
        <v>520</v>
      </c>
      <c r="X10" s="877" t="s">
        <v>520</v>
      </c>
      <c r="Y10" s="875"/>
    </row>
    <row r="11" spans="1:25" ht="14.45" customHeight="1" x14ac:dyDescent="0.2">
      <c r="A11" s="845" t="s">
        <v>4145</v>
      </c>
      <c r="B11" s="831">
        <v>6</v>
      </c>
      <c r="C11" s="832">
        <v>124.25</v>
      </c>
      <c r="D11" s="830">
        <v>16.5</v>
      </c>
      <c r="E11" s="833">
        <v>7</v>
      </c>
      <c r="F11" s="834">
        <v>143.75</v>
      </c>
      <c r="G11" s="820">
        <v>39.1</v>
      </c>
      <c r="H11" s="835">
        <v>4</v>
      </c>
      <c r="I11" s="836">
        <v>80.23</v>
      </c>
      <c r="J11" s="822">
        <v>32.5</v>
      </c>
      <c r="K11" s="837">
        <v>20.34</v>
      </c>
      <c r="L11" s="835">
        <v>11</v>
      </c>
      <c r="M11" s="835">
        <v>87</v>
      </c>
      <c r="N11" s="838">
        <v>29</v>
      </c>
      <c r="O11" s="835" t="s">
        <v>4134</v>
      </c>
      <c r="P11" s="839" t="s">
        <v>4143</v>
      </c>
      <c r="Q11" s="840">
        <f t="shared" si="0"/>
        <v>-2</v>
      </c>
      <c r="R11" s="872">
        <f t="shared" si="0"/>
        <v>-44.019999999999996</v>
      </c>
      <c r="S11" s="840">
        <f t="shared" si="1"/>
        <v>-3</v>
      </c>
      <c r="T11" s="872">
        <f t="shared" si="2"/>
        <v>-63.519999999999996</v>
      </c>
      <c r="U11" s="879">
        <v>116</v>
      </c>
      <c r="V11" s="831">
        <v>130</v>
      </c>
      <c r="W11" s="831">
        <v>14</v>
      </c>
      <c r="X11" s="877">
        <v>1.1206896551724137</v>
      </c>
      <c r="Y11" s="875">
        <v>30</v>
      </c>
    </row>
    <row r="12" spans="1:25" ht="14.45" customHeight="1" x14ac:dyDescent="0.2">
      <c r="A12" s="844" t="s">
        <v>4146</v>
      </c>
      <c r="B12" s="808"/>
      <c r="C12" s="809"/>
      <c r="D12" s="810"/>
      <c r="E12" s="825"/>
      <c r="F12" s="811"/>
      <c r="G12" s="812"/>
      <c r="H12" s="813">
        <v>2</v>
      </c>
      <c r="I12" s="811">
        <v>24.75</v>
      </c>
      <c r="J12" s="812">
        <v>16</v>
      </c>
      <c r="K12" s="814">
        <v>12.38</v>
      </c>
      <c r="L12" s="813">
        <v>5</v>
      </c>
      <c r="M12" s="813">
        <v>60</v>
      </c>
      <c r="N12" s="815">
        <v>20</v>
      </c>
      <c r="O12" s="813" t="s">
        <v>4134</v>
      </c>
      <c r="P12" s="826" t="s">
        <v>4147</v>
      </c>
      <c r="Q12" s="816">
        <f t="shared" si="0"/>
        <v>2</v>
      </c>
      <c r="R12" s="871">
        <f t="shared" si="0"/>
        <v>24.75</v>
      </c>
      <c r="S12" s="816">
        <f t="shared" si="1"/>
        <v>2</v>
      </c>
      <c r="T12" s="871">
        <f t="shared" si="2"/>
        <v>24.75</v>
      </c>
      <c r="U12" s="878">
        <v>40</v>
      </c>
      <c r="V12" s="827">
        <v>32</v>
      </c>
      <c r="W12" s="827">
        <v>-8</v>
      </c>
      <c r="X12" s="876">
        <v>0.8</v>
      </c>
      <c r="Y12" s="874"/>
    </row>
    <row r="13" spans="1:25" ht="14.45" customHeight="1" x14ac:dyDescent="0.2">
      <c r="A13" s="845" t="s">
        <v>4148</v>
      </c>
      <c r="B13" s="841">
        <v>1</v>
      </c>
      <c r="C13" s="842">
        <v>12.38</v>
      </c>
      <c r="D13" s="823">
        <v>12</v>
      </c>
      <c r="E13" s="843"/>
      <c r="F13" s="836"/>
      <c r="G13" s="821"/>
      <c r="H13" s="835">
        <v>2</v>
      </c>
      <c r="I13" s="836">
        <v>41.36</v>
      </c>
      <c r="J13" s="822">
        <v>23</v>
      </c>
      <c r="K13" s="837">
        <v>12.38</v>
      </c>
      <c r="L13" s="835">
        <v>5</v>
      </c>
      <c r="M13" s="835">
        <v>60</v>
      </c>
      <c r="N13" s="838">
        <v>20</v>
      </c>
      <c r="O13" s="835" t="s">
        <v>4134</v>
      </c>
      <c r="P13" s="839" t="s">
        <v>4147</v>
      </c>
      <c r="Q13" s="840">
        <f t="shared" si="0"/>
        <v>1</v>
      </c>
      <c r="R13" s="872">
        <f t="shared" si="0"/>
        <v>28.979999999999997</v>
      </c>
      <c r="S13" s="840">
        <f t="shared" si="1"/>
        <v>2</v>
      </c>
      <c r="T13" s="872">
        <f t="shared" si="2"/>
        <v>41.36</v>
      </c>
      <c r="U13" s="879">
        <v>40</v>
      </c>
      <c r="V13" s="831">
        <v>46</v>
      </c>
      <c r="W13" s="831">
        <v>6</v>
      </c>
      <c r="X13" s="877">
        <v>1.1499999999999999</v>
      </c>
      <c r="Y13" s="875">
        <v>14</v>
      </c>
    </row>
    <row r="14" spans="1:25" ht="14.45" customHeight="1" x14ac:dyDescent="0.2">
      <c r="A14" s="845" t="s">
        <v>4149</v>
      </c>
      <c r="B14" s="841">
        <v>12</v>
      </c>
      <c r="C14" s="842">
        <v>151.78</v>
      </c>
      <c r="D14" s="823">
        <v>12</v>
      </c>
      <c r="E14" s="843">
        <v>12</v>
      </c>
      <c r="F14" s="836">
        <v>153.38999999999999</v>
      </c>
      <c r="G14" s="821">
        <v>14.7</v>
      </c>
      <c r="H14" s="835">
        <v>7</v>
      </c>
      <c r="I14" s="836">
        <v>88.54</v>
      </c>
      <c r="J14" s="821">
        <v>15.6</v>
      </c>
      <c r="K14" s="837">
        <v>12.65</v>
      </c>
      <c r="L14" s="835">
        <v>5</v>
      </c>
      <c r="M14" s="835">
        <v>60</v>
      </c>
      <c r="N14" s="838">
        <v>20</v>
      </c>
      <c r="O14" s="835" t="s">
        <v>4134</v>
      </c>
      <c r="P14" s="839" t="s">
        <v>4147</v>
      </c>
      <c r="Q14" s="840">
        <f t="shared" si="0"/>
        <v>-5</v>
      </c>
      <c r="R14" s="872">
        <f t="shared" si="0"/>
        <v>-63.239999999999995</v>
      </c>
      <c r="S14" s="840">
        <f t="shared" si="1"/>
        <v>-5</v>
      </c>
      <c r="T14" s="872">
        <f t="shared" si="2"/>
        <v>-64.84999999999998</v>
      </c>
      <c r="U14" s="879">
        <v>140</v>
      </c>
      <c r="V14" s="831">
        <v>109.2</v>
      </c>
      <c r="W14" s="831">
        <v>-30.799999999999997</v>
      </c>
      <c r="X14" s="877">
        <v>0.78</v>
      </c>
      <c r="Y14" s="875">
        <v>6</v>
      </c>
    </row>
    <row r="15" spans="1:25" ht="14.45" customHeight="1" x14ac:dyDescent="0.2">
      <c r="A15" s="844" t="s">
        <v>4150</v>
      </c>
      <c r="B15" s="808">
        <v>1</v>
      </c>
      <c r="C15" s="809">
        <v>5.05</v>
      </c>
      <c r="D15" s="810">
        <v>3</v>
      </c>
      <c r="E15" s="825"/>
      <c r="F15" s="811"/>
      <c r="G15" s="812"/>
      <c r="H15" s="813"/>
      <c r="I15" s="811"/>
      <c r="J15" s="812"/>
      <c r="K15" s="814">
        <v>6.5</v>
      </c>
      <c r="L15" s="813">
        <v>4</v>
      </c>
      <c r="M15" s="813">
        <v>39</v>
      </c>
      <c r="N15" s="815">
        <v>13</v>
      </c>
      <c r="O15" s="813" t="s">
        <v>4134</v>
      </c>
      <c r="P15" s="826" t="s">
        <v>4151</v>
      </c>
      <c r="Q15" s="816">
        <f t="shared" si="0"/>
        <v>-1</v>
      </c>
      <c r="R15" s="871">
        <f t="shared" si="0"/>
        <v>-5.05</v>
      </c>
      <c r="S15" s="816">
        <f t="shared" si="1"/>
        <v>0</v>
      </c>
      <c r="T15" s="871">
        <f t="shared" si="2"/>
        <v>0</v>
      </c>
      <c r="U15" s="878" t="s">
        <v>520</v>
      </c>
      <c r="V15" s="827" t="s">
        <v>520</v>
      </c>
      <c r="W15" s="827" t="s">
        <v>520</v>
      </c>
      <c r="X15" s="876" t="s">
        <v>520</v>
      </c>
      <c r="Y15" s="874"/>
    </row>
    <row r="16" spans="1:25" ht="14.45" customHeight="1" x14ac:dyDescent="0.2">
      <c r="A16" s="844" t="s">
        <v>4152</v>
      </c>
      <c r="B16" s="827"/>
      <c r="C16" s="828"/>
      <c r="D16" s="829"/>
      <c r="E16" s="825"/>
      <c r="F16" s="811"/>
      <c r="G16" s="812"/>
      <c r="H16" s="817">
        <v>1</v>
      </c>
      <c r="I16" s="818">
        <v>7.19</v>
      </c>
      <c r="J16" s="819">
        <v>6</v>
      </c>
      <c r="K16" s="814">
        <v>7.19</v>
      </c>
      <c r="L16" s="813">
        <v>3</v>
      </c>
      <c r="M16" s="813">
        <v>30</v>
      </c>
      <c r="N16" s="815">
        <v>10</v>
      </c>
      <c r="O16" s="813" t="s">
        <v>4134</v>
      </c>
      <c r="P16" s="826" t="s">
        <v>4153</v>
      </c>
      <c r="Q16" s="816">
        <f t="shared" si="0"/>
        <v>1</v>
      </c>
      <c r="R16" s="871">
        <f t="shared" si="0"/>
        <v>7.19</v>
      </c>
      <c r="S16" s="816">
        <f t="shared" si="1"/>
        <v>1</v>
      </c>
      <c r="T16" s="871">
        <f t="shared" si="2"/>
        <v>7.19</v>
      </c>
      <c r="U16" s="878">
        <v>10</v>
      </c>
      <c r="V16" s="827">
        <v>6</v>
      </c>
      <c r="W16" s="827">
        <v>-4</v>
      </c>
      <c r="X16" s="876">
        <v>0.6</v>
      </c>
      <c r="Y16" s="874"/>
    </row>
    <row r="17" spans="1:25" ht="14.45" customHeight="1" x14ac:dyDescent="0.2">
      <c r="A17" s="844" t="s">
        <v>4154</v>
      </c>
      <c r="B17" s="827"/>
      <c r="C17" s="828"/>
      <c r="D17" s="829"/>
      <c r="E17" s="825"/>
      <c r="F17" s="811"/>
      <c r="G17" s="812"/>
      <c r="H17" s="817">
        <v>1</v>
      </c>
      <c r="I17" s="818">
        <v>0.77</v>
      </c>
      <c r="J17" s="819">
        <v>1</v>
      </c>
      <c r="K17" s="814">
        <v>2.2200000000000002</v>
      </c>
      <c r="L17" s="813">
        <v>3</v>
      </c>
      <c r="M17" s="813">
        <v>30</v>
      </c>
      <c r="N17" s="815">
        <v>10</v>
      </c>
      <c r="O17" s="813" t="s">
        <v>4134</v>
      </c>
      <c r="P17" s="826" t="s">
        <v>4155</v>
      </c>
      <c r="Q17" s="816">
        <f t="shared" si="0"/>
        <v>1</v>
      </c>
      <c r="R17" s="871">
        <f t="shared" si="0"/>
        <v>0.77</v>
      </c>
      <c r="S17" s="816">
        <f t="shared" si="1"/>
        <v>1</v>
      </c>
      <c r="T17" s="871">
        <f t="shared" si="2"/>
        <v>0.77</v>
      </c>
      <c r="U17" s="878">
        <v>10</v>
      </c>
      <c r="V17" s="827">
        <v>1</v>
      </c>
      <c r="W17" s="827">
        <v>-9</v>
      </c>
      <c r="X17" s="876">
        <v>0.1</v>
      </c>
      <c r="Y17" s="874"/>
    </row>
    <row r="18" spans="1:25" ht="14.45" customHeight="1" x14ac:dyDescent="0.2">
      <c r="A18" s="844" t="s">
        <v>4156</v>
      </c>
      <c r="B18" s="827"/>
      <c r="C18" s="828"/>
      <c r="D18" s="829"/>
      <c r="E18" s="825"/>
      <c r="F18" s="811"/>
      <c r="G18" s="812"/>
      <c r="H18" s="817">
        <v>1</v>
      </c>
      <c r="I18" s="818">
        <v>1.24</v>
      </c>
      <c r="J18" s="819">
        <v>5</v>
      </c>
      <c r="K18" s="814">
        <v>1.24</v>
      </c>
      <c r="L18" s="813">
        <v>3</v>
      </c>
      <c r="M18" s="813">
        <v>24</v>
      </c>
      <c r="N18" s="815">
        <v>8</v>
      </c>
      <c r="O18" s="813" t="s">
        <v>4134</v>
      </c>
      <c r="P18" s="826" t="s">
        <v>4157</v>
      </c>
      <c r="Q18" s="816">
        <f t="shared" si="0"/>
        <v>1</v>
      </c>
      <c r="R18" s="871">
        <f t="shared" si="0"/>
        <v>1.24</v>
      </c>
      <c r="S18" s="816">
        <f t="shared" si="1"/>
        <v>1</v>
      </c>
      <c r="T18" s="871">
        <f t="shared" si="2"/>
        <v>1.24</v>
      </c>
      <c r="U18" s="878">
        <v>8</v>
      </c>
      <c r="V18" s="827">
        <v>5</v>
      </c>
      <c r="W18" s="827">
        <v>-3</v>
      </c>
      <c r="X18" s="876">
        <v>0.625</v>
      </c>
      <c r="Y18" s="874"/>
    </row>
    <row r="19" spans="1:25" ht="14.45" customHeight="1" x14ac:dyDescent="0.2">
      <c r="A19" s="844" t="s">
        <v>4158</v>
      </c>
      <c r="B19" s="827"/>
      <c r="C19" s="828"/>
      <c r="D19" s="829"/>
      <c r="E19" s="825"/>
      <c r="F19" s="811"/>
      <c r="G19" s="812"/>
      <c r="H19" s="817">
        <v>1</v>
      </c>
      <c r="I19" s="818">
        <v>1.35</v>
      </c>
      <c r="J19" s="824">
        <v>25</v>
      </c>
      <c r="K19" s="814">
        <v>1.1200000000000001</v>
      </c>
      <c r="L19" s="813">
        <v>3</v>
      </c>
      <c r="M19" s="813">
        <v>27</v>
      </c>
      <c r="N19" s="815">
        <v>9</v>
      </c>
      <c r="O19" s="813" t="s">
        <v>4134</v>
      </c>
      <c r="P19" s="826" t="s">
        <v>4159</v>
      </c>
      <c r="Q19" s="816">
        <f t="shared" si="0"/>
        <v>1</v>
      </c>
      <c r="R19" s="871">
        <f t="shared" si="0"/>
        <v>1.35</v>
      </c>
      <c r="S19" s="816">
        <f t="shared" si="1"/>
        <v>1</v>
      </c>
      <c r="T19" s="871">
        <f t="shared" si="2"/>
        <v>1.35</v>
      </c>
      <c r="U19" s="878">
        <v>9</v>
      </c>
      <c r="V19" s="827">
        <v>25</v>
      </c>
      <c r="W19" s="827">
        <v>16</v>
      </c>
      <c r="X19" s="876">
        <v>2.7777777777777777</v>
      </c>
      <c r="Y19" s="874">
        <v>16</v>
      </c>
    </row>
    <row r="20" spans="1:25" ht="14.45" customHeight="1" x14ac:dyDescent="0.2">
      <c r="A20" s="845" t="s">
        <v>4160</v>
      </c>
      <c r="B20" s="831"/>
      <c r="C20" s="832"/>
      <c r="D20" s="830"/>
      <c r="E20" s="843">
        <v>1</v>
      </c>
      <c r="F20" s="836">
        <v>2.38</v>
      </c>
      <c r="G20" s="821">
        <v>3</v>
      </c>
      <c r="H20" s="833">
        <v>1</v>
      </c>
      <c r="I20" s="834">
        <v>0.83</v>
      </c>
      <c r="J20" s="820">
        <v>1</v>
      </c>
      <c r="K20" s="837">
        <v>2.38</v>
      </c>
      <c r="L20" s="835">
        <v>3</v>
      </c>
      <c r="M20" s="835">
        <v>30</v>
      </c>
      <c r="N20" s="838">
        <v>10</v>
      </c>
      <c r="O20" s="835" t="s">
        <v>4134</v>
      </c>
      <c r="P20" s="839" t="s">
        <v>4161</v>
      </c>
      <c r="Q20" s="840">
        <f t="shared" si="0"/>
        <v>1</v>
      </c>
      <c r="R20" s="872">
        <f t="shared" si="0"/>
        <v>0.83</v>
      </c>
      <c r="S20" s="840">
        <f t="shared" si="1"/>
        <v>0</v>
      </c>
      <c r="T20" s="872">
        <f t="shared" si="2"/>
        <v>-1.5499999999999998</v>
      </c>
      <c r="U20" s="879">
        <v>10</v>
      </c>
      <c r="V20" s="831">
        <v>1</v>
      </c>
      <c r="W20" s="831">
        <v>-9</v>
      </c>
      <c r="X20" s="877">
        <v>0.1</v>
      </c>
      <c r="Y20" s="875"/>
    </row>
    <row r="21" spans="1:25" ht="14.45" customHeight="1" x14ac:dyDescent="0.2">
      <c r="A21" s="844" t="s">
        <v>4162</v>
      </c>
      <c r="B21" s="827"/>
      <c r="C21" s="828"/>
      <c r="D21" s="829"/>
      <c r="E21" s="825"/>
      <c r="F21" s="811"/>
      <c r="G21" s="812"/>
      <c r="H21" s="817">
        <v>1</v>
      </c>
      <c r="I21" s="818">
        <v>1.41</v>
      </c>
      <c r="J21" s="819">
        <v>4</v>
      </c>
      <c r="K21" s="814">
        <v>1.41</v>
      </c>
      <c r="L21" s="813">
        <v>3</v>
      </c>
      <c r="M21" s="813">
        <v>24</v>
      </c>
      <c r="N21" s="815">
        <v>8</v>
      </c>
      <c r="O21" s="813" t="s">
        <v>4134</v>
      </c>
      <c r="P21" s="826" t="s">
        <v>4163</v>
      </c>
      <c r="Q21" s="816">
        <f t="shared" si="0"/>
        <v>1</v>
      </c>
      <c r="R21" s="871">
        <f t="shared" si="0"/>
        <v>1.41</v>
      </c>
      <c r="S21" s="816">
        <f t="shared" si="1"/>
        <v>1</v>
      </c>
      <c r="T21" s="871">
        <f t="shared" si="2"/>
        <v>1.41</v>
      </c>
      <c r="U21" s="878">
        <v>8</v>
      </c>
      <c r="V21" s="827">
        <v>4</v>
      </c>
      <c r="W21" s="827">
        <v>-4</v>
      </c>
      <c r="X21" s="876">
        <v>0.5</v>
      </c>
      <c r="Y21" s="874"/>
    </row>
    <row r="22" spans="1:25" ht="14.45" customHeight="1" x14ac:dyDescent="0.2">
      <c r="A22" s="844" t="s">
        <v>4164</v>
      </c>
      <c r="B22" s="827"/>
      <c r="C22" s="828"/>
      <c r="D22" s="829"/>
      <c r="E22" s="817">
        <v>1</v>
      </c>
      <c r="F22" s="818">
        <v>1.99</v>
      </c>
      <c r="G22" s="819">
        <v>4</v>
      </c>
      <c r="H22" s="813"/>
      <c r="I22" s="811"/>
      <c r="J22" s="812"/>
      <c r="K22" s="814">
        <v>2.41</v>
      </c>
      <c r="L22" s="813">
        <v>5</v>
      </c>
      <c r="M22" s="813">
        <v>48</v>
      </c>
      <c r="N22" s="815">
        <v>16</v>
      </c>
      <c r="O22" s="813" t="s">
        <v>4134</v>
      </c>
      <c r="P22" s="826" t="s">
        <v>4165</v>
      </c>
      <c r="Q22" s="816">
        <f t="shared" si="0"/>
        <v>0</v>
      </c>
      <c r="R22" s="871">
        <f t="shared" si="0"/>
        <v>0</v>
      </c>
      <c r="S22" s="816">
        <f t="shared" si="1"/>
        <v>-1</v>
      </c>
      <c r="T22" s="871">
        <f t="shared" si="2"/>
        <v>-1.99</v>
      </c>
      <c r="U22" s="878" t="s">
        <v>520</v>
      </c>
      <c r="V22" s="827" t="s">
        <v>520</v>
      </c>
      <c r="W22" s="827" t="s">
        <v>520</v>
      </c>
      <c r="X22" s="876" t="s">
        <v>520</v>
      </c>
      <c r="Y22" s="874"/>
    </row>
    <row r="23" spans="1:25" ht="14.45" customHeight="1" x14ac:dyDescent="0.2">
      <c r="A23" s="844" t="s">
        <v>4166</v>
      </c>
      <c r="B23" s="827"/>
      <c r="C23" s="828"/>
      <c r="D23" s="829"/>
      <c r="E23" s="817">
        <v>1</v>
      </c>
      <c r="F23" s="818">
        <v>1.84</v>
      </c>
      <c r="G23" s="819">
        <v>5</v>
      </c>
      <c r="H23" s="813"/>
      <c r="I23" s="811"/>
      <c r="J23" s="812"/>
      <c r="K23" s="814">
        <v>1.67</v>
      </c>
      <c r="L23" s="813">
        <v>3</v>
      </c>
      <c r="M23" s="813">
        <v>27</v>
      </c>
      <c r="N23" s="815">
        <v>9</v>
      </c>
      <c r="O23" s="813" t="s">
        <v>4134</v>
      </c>
      <c r="P23" s="826" t="s">
        <v>4167</v>
      </c>
      <c r="Q23" s="816">
        <f t="shared" si="0"/>
        <v>0</v>
      </c>
      <c r="R23" s="871">
        <f t="shared" si="0"/>
        <v>0</v>
      </c>
      <c r="S23" s="816">
        <f t="shared" si="1"/>
        <v>-1</v>
      </c>
      <c r="T23" s="871">
        <f t="shared" si="2"/>
        <v>-1.84</v>
      </c>
      <c r="U23" s="878" t="s">
        <v>520</v>
      </c>
      <c r="V23" s="827" t="s">
        <v>520</v>
      </c>
      <c r="W23" s="827" t="s">
        <v>520</v>
      </c>
      <c r="X23" s="876" t="s">
        <v>520</v>
      </c>
      <c r="Y23" s="874"/>
    </row>
    <row r="24" spans="1:25" ht="14.45" customHeight="1" x14ac:dyDescent="0.2">
      <c r="A24" s="844" t="s">
        <v>4168</v>
      </c>
      <c r="B24" s="827"/>
      <c r="C24" s="828"/>
      <c r="D24" s="829"/>
      <c r="E24" s="825"/>
      <c r="F24" s="811"/>
      <c r="G24" s="812"/>
      <c r="H24" s="817">
        <v>1</v>
      </c>
      <c r="I24" s="818">
        <v>0.5</v>
      </c>
      <c r="J24" s="819">
        <v>2</v>
      </c>
      <c r="K24" s="814">
        <v>0.36</v>
      </c>
      <c r="L24" s="813">
        <v>2</v>
      </c>
      <c r="M24" s="813">
        <v>15</v>
      </c>
      <c r="N24" s="815">
        <v>5</v>
      </c>
      <c r="O24" s="813" t="s">
        <v>4134</v>
      </c>
      <c r="P24" s="826" t="s">
        <v>4169</v>
      </c>
      <c r="Q24" s="816">
        <f t="shared" si="0"/>
        <v>1</v>
      </c>
      <c r="R24" s="871">
        <f t="shared" si="0"/>
        <v>0.5</v>
      </c>
      <c r="S24" s="816">
        <f t="shared" si="1"/>
        <v>1</v>
      </c>
      <c r="T24" s="871">
        <f t="shared" si="2"/>
        <v>0.5</v>
      </c>
      <c r="U24" s="878">
        <v>5</v>
      </c>
      <c r="V24" s="827">
        <v>2</v>
      </c>
      <c r="W24" s="827">
        <v>-3</v>
      </c>
      <c r="X24" s="876">
        <v>0.4</v>
      </c>
      <c r="Y24" s="874"/>
    </row>
    <row r="25" spans="1:25" ht="14.45" customHeight="1" x14ac:dyDescent="0.2">
      <c r="A25" s="844" t="s">
        <v>4170</v>
      </c>
      <c r="B25" s="827"/>
      <c r="C25" s="828"/>
      <c r="D25" s="829"/>
      <c r="E25" s="825"/>
      <c r="F25" s="811"/>
      <c r="G25" s="812"/>
      <c r="H25" s="817">
        <v>1</v>
      </c>
      <c r="I25" s="818">
        <v>0.82</v>
      </c>
      <c r="J25" s="819">
        <v>2</v>
      </c>
      <c r="K25" s="814">
        <v>0.73</v>
      </c>
      <c r="L25" s="813">
        <v>2</v>
      </c>
      <c r="M25" s="813">
        <v>21</v>
      </c>
      <c r="N25" s="815">
        <v>7</v>
      </c>
      <c r="O25" s="813" t="s">
        <v>4134</v>
      </c>
      <c r="P25" s="826" t="s">
        <v>4171</v>
      </c>
      <c r="Q25" s="816">
        <f t="shared" si="0"/>
        <v>1</v>
      </c>
      <c r="R25" s="871">
        <f t="shared" si="0"/>
        <v>0.82</v>
      </c>
      <c r="S25" s="816">
        <f t="shared" si="1"/>
        <v>1</v>
      </c>
      <c r="T25" s="871">
        <f t="shared" si="2"/>
        <v>0.82</v>
      </c>
      <c r="U25" s="878">
        <v>7</v>
      </c>
      <c r="V25" s="827">
        <v>2</v>
      </c>
      <c r="W25" s="827">
        <v>-5</v>
      </c>
      <c r="X25" s="876">
        <v>0.2857142857142857</v>
      </c>
      <c r="Y25" s="874"/>
    </row>
    <row r="26" spans="1:25" ht="14.45" customHeight="1" x14ac:dyDescent="0.2">
      <c r="A26" s="844" t="s">
        <v>4172</v>
      </c>
      <c r="B26" s="808">
        <v>1</v>
      </c>
      <c r="C26" s="809">
        <v>0.56000000000000005</v>
      </c>
      <c r="D26" s="810">
        <v>2</v>
      </c>
      <c r="E26" s="825"/>
      <c r="F26" s="811"/>
      <c r="G26" s="812"/>
      <c r="H26" s="813"/>
      <c r="I26" s="811"/>
      <c r="J26" s="812"/>
      <c r="K26" s="814">
        <v>0.56000000000000005</v>
      </c>
      <c r="L26" s="813">
        <v>2</v>
      </c>
      <c r="M26" s="813">
        <v>21</v>
      </c>
      <c r="N26" s="815">
        <v>7</v>
      </c>
      <c r="O26" s="813" t="s">
        <v>4134</v>
      </c>
      <c r="P26" s="826" t="s">
        <v>4173</v>
      </c>
      <c r="Q26" s="816">
        <f t="shared" si="0"/>
        <v>-1</v>
      </c>
      <c r="R26" s="871">
        <f t="shared" si="0"/>
        <v>-0.56000000000000005</v>
      </c>
      <c r="S26" s="816">
        <f t="shared" si="1"/>
        <v>0</v>
      </c>
      <c r="T26" s="871">
        <f t="shared" si="2"/>
        <v>0</v>
      </c>
      <c r="U26" s="878" t="s">
        <v>520</v>
      </c>
      <c r="V26" s="827" t="s">
        <v>520</v>
      </c>
      <c r="W26" s="827" t="s">
        <v>520</v>
      </c>
      <c r="X26" s="876" t="s">
        <v>520</v>
      </c>
      <c r="Y26" s="874"/>
    </row>
    <row r="27" spans="1:25" ht="14.45" customHeight="1" x14ac:dyDescent="0.2">
      <c r="A27" s="844" t="s">
        <v>4174</v>
      </c>
      <c r="B27" s="808">
        <v>3</v>
      </c>
      <c r="C27" s="809">
        <v>17.82</v>
      </c>
      <c r="D27" s="810">
        <v>3.7</v>
      </c>
      <c r="E27" s="825"/>
      <c r="F27" s="811"/>
      <c r="G27" s="812"/>
      <c r="H27" s="813"/>
      <c r="I27" s="811"/>
      <c r="J27" s="812"/>
      <c r="K27" s="814">
        <v>5.41</v>
      </c>
      <c r="L27" s="813">
        <v>4</v>
      </c>
      <c r="M27" s="813">
        <v>33</v>
      </c>
      <c r="N27" s="815">
        <v>11</v>
      </c>
      <c r="O27" s="813" t="s">
        <v>4134</v>
      </c>
      <c r="P27" s="826" t="s">
        <v>4175</v>
      </c>
      <c r="Q27" s="816">
        <f t="shared" si="0"/>
        <v>-3</v>
      </c>
      <c r="R27" s="871">
        <f t="shared" si="0"/>
        <v>-17.82</v>
      </c>
      <c r="S27" s="816">
        <f t="shared" si="1"/>
        <v>0</v>
      </c>
      <c r="T27" s="871">
        <f t="shared" si="2"/>
        <v>0</v>
      </c>
      <c r="U27" s="878" t="s">
        <v>520</v>
      </c>
      <c r="V27" s="827" t="s">
        <v>520</v>
      </c>
      <c r="W27" s="827" t="s">
        <v>520</v>
      </c>
      <c r="X27" s="876" t="s">
        <v>520</v>
      </c>
      <c r="Y27" s="874"/>
    </row>
    <row r="28" spans="1:25" ht="14.45" customHeight="1" x14ac:dyDescent="0.2">
      <c r="A28" s="845" t="s">
        <v>4176</v>
      </c>
      <c r="B28" s="841">
        <v>1</v>
      </c>
      <c r="C28" s="842">
        <v>7.26</v>
      </c>
      <c r="D28" s="823">
        <v>4</v>
      </c>
      <c r="E28" s="843">
        <v>2</v>
      </c>
      <c r="F28" s="836">
        <v>11.83</v>
      </c>
      <c r="G28" s="821">
        <v>4.5</v>
      </c>
      <c r="H28" s="835">
        <v>4</v>
      </c>
      <c r="I28" s="836">
        <v>32.64</v>
      </c>
      <c r="J28" s="821">
        <v>4.5</v>
      </c>
      <c r="K28" s="837">
        <v>7.26</v>
      </c>
      <c r="L28" s="835">
        <v>4</v>
      </c>
      <c r="M28" s="835">
        <v>39</v>
      </c>
      <c r="N28" s="838">
        <v>13</v>
      </c>
      <c r="O28" s="835" t="s">
        <v>4134</v>
      </c>
      <c r="P28" s="839" t="s">
        <v>4177</v>
      </c>
      <c r="Q28" s="840">
        <f t="shared" si="0"/>
        <v>3</v>
      </c>
      <c r="R28" s="872">
        <f t="shared" si="0"/>
        <v>25.380000000000003</v>
      </c>
      <c r="S28" s="840">
        <f t="shared" si="1"/>
        <v>2</v>
      </c>
      <c r="T28" s="872">
        <f t="shared" si="2"/>
        <v>20.810000000000002</v>
      </c>
      <c r="U28" s="879">
        <v>52</v>
      </c>
      <c r="V28" s="831">
        <v>18</v>
      </c>
      <c r="W28" s="831">
        <v>-34</v>
      </c>
      <c r="X28" s="877">
        <v>0.34615384615384615</v>
      </c>
      <c r="Y28" s="875"/>
    </row>
    <row r="29" spans="1:25" ht="14.45" customHeight="1" x14ac:dyDescent="0.2">
      <c r="A29" s="845" t="s">
        <v>4178</v>
      </c>
      <c r="B29" s="841">
        <v>5</v>
      </c>
      <c r="C29" s="842">
        <v>43.86</v>
      </c>
      <c r="D29" s="823">
        <v>14.6</v>
      </c>
      <c r="E29" s="843">
        <v>2</v>
      </c>
      <c r="F29" s="836">
        <v>15.69</v>
      </c>
      <c r="G29" s="821">
        <v>7.5</v>
      </c>
      <c r="H29" s="835">
        <v>2</v>
      </c>
      <c r="I29" s="836">
        <v>12.32</v>
      </c>
      <c r="J29" s="821">
        <v>7</v>
      </c>
      <c r="K29" s="837">
        <v>9.31</v>
      </c>
      <c r="L29" s="835">
        <v>5</v>
      </c>
      <c r="M29" s="835">
        <v>48</v>
      </c>
      <c r="N29" s="838">
        <v>16</v>
      </c>
      <c r="O29" s="835" t="s">
        <v>4134</v>
      </c>
      <c r="P29" s="839" t="s">
        <v>4179</v>
      </c>
      <c r="Q29" s="840">
        <f t="shared" si="0"/>
        <v>-3</v>
      </c>
      <c r="R29" s="872">
        <f t="shared" si="0"/>
        <v>-31.54</v>
      </c>
      <c r="S29" s="840">
        <f t="shared" si="1"/>
        <v>0</v>
      </c>
      <c r="T29" s="872">
        <f t="shared" si="2"/>
        <v>-3.3699999999999992</v>
      </c>
      <c r="U29" s="879">
        <v>32</v>
      </c>
      <c r="V29" s="831">
        <v>14</v>
      </c>
      <c r="W29" s="831">
        <v>-18</v>
      </c>
      <c r="X29" s="877">
        <v>0.4375</v>
      </c>
      <c r="Y29" s="875"/>
    </row>
    <row r="30" spans="1:25" ht="14.45" customHeight="1" x14ac:dyDescent="0.2">
      <c r="A30" s="844" t="s">
        <v>4180</v>
      </c>
      <c r="B30" s="827">
        <v>2</v>
      </c>
      <c r="C30" s="828">
        <v>4.24</v>
      </c>
      <c r="D30" s="829">
        <v>3</v>
      </c>
      <c r="E30" s="825">
        <v>2</v>
      </c>
      <c r="F30" s="811">
        <v>3.61</v>
      </c>
      <c r="G30" s="812">
        <v>2.5</v>
      </c>
      <c r="H30" s="817">
        <v>1</v>
      </c>
      <c r="I30" s="818">
        <v>2.12</v>
      </c>
      <c r="J30" s="819">
        <v>7</v>
      </c>
      <c r="K30" s="814">
        <v>2.12</v>
      </c>
      <c r="L30" s="813">
        <v>3</v>
      </c>
      <c r="M30" s="813">
        <v>24</v>
      </c>
      <c r="N30" s="815">
        <v>8</v>
      </c>
      <c r="O30" s="813" t="s">
        <v>4134</v>
      </c>
      <c r="P30" s="826" t="s">
        <v>4181</v>
      </c>
      <c r="Q30" s="816">
        <f t="shared" si="0"/>
        <v>-1</v>
      </c>
      <c r="R30" s="871">
        <f t="shared" si="0"/>
        <v>-2.12</v>
      </c>
      <c r="S30" s="816">
        <f t="shared" si="1"/>
        <v>-1</v>
      </c>
      <c r="T30" s="871">
        <f t="shared" si="2"/>
        <v>-1.4899999999999998</v>
      </c>
      <c r="U30" s="878">
        <v>8</v>
      </c>
      <c r="V30" s="827">
        <v>7</v>
      </c>
      <c r="W30" s="827">
        <v>-1</v>
      </c>
      <c r="X30" s="876">
        <v>0.875</v>
      </c>
      <c r="Y30" s="874"/>
    </row>
    <row r="31" spans="1:25" ht="14.45" customHeight="1" x14ac:dyDescent="0.2">
      <c r="A31" s="845" t="s">
        <v>4182</v>
      </c>
      <c r="B31" s="831">
        <v>1</v>
      </c>
      <c r="C31" s="832">
        <v>5.49</v>
      </c>
      <c r="D31" s="830">
        <v>11</v>
      </c>
      <c r="E31" s="843">
        <v>1</v>
      </c>
      <c r="F31" s="836">
        <v>4.04</v>
      </c>
      <c r="G31" s="821">
        <v>6</v>
      </c>
      <c r="H31" s="833">
        <v>2</v>
      </c>
      <c r="I31" s="834">
        <v>4.4400000000000004</v>
      </c>
      <c r="J31" s="820">
        <v>3</v>
      </c>
      <c r="K31" s="837">
        <v>2.86</v>
      </c>
      <c r="L31" s="835">
        <v>4</v>
      </c>
      <c r="M31" s="835">
        <v>36</v>
      </c>
      <c r="N31" s="838">
        <v>12</v>
      </c>
      <c r="O31" s="835" t="s">
        <v>4134</v>
      </c>
      <c r="P31" s="839" t="s">
        <v>4183</v>
      </c>
      <c r="Q31" s="840">
        <f t="shared" si="0"/>
        <v>1</v>
      </c>
      <c r="R31" s="872">
        <f t="shared" si="0"/>
        <v>-1.0499999999999998</v>
      </c>
      <c r="S31" s="840">
        <f t="shared" si="1"/>
        <v>1</v>
      </c>
      <c r="T31" s="872">
        <f t="shared" si="2"/>
        <v>0.40000000000000036</v>
      </c>
      <c r="U31" s="879">
        <v>24</v>
      </c>
      <c r="V31" s="831">
        <v>6</v>
      </c>
      <c r="W31" s="831">
        <v>-18</v>
      </c>
      <c r="X31" s="877">
        <v>0.25</v>
      </c>
      <c r="Y31" s="875"/>
    </row>
    <row r="32" spans="1:25" ht="14.45" customHeight="1" x14ac:dyDescent="0.2">
      <c r="A32" s="845" t="s">
        <v>4184</v>
      </c>
      <c r="B32" s="831"/>
      <c r="C32" s="832"/>
      <c r="D32" s="830"/>
      <c r="E32" s="843"/>
      <c r="F32" s="836"/>
      <c r="G32" s="821"/>
      <c r="H32" s="833">
        <v>1</v>
      </c>
      <c r="I32" s="834">
        <v>3.81</v>
      </c>
      <c r="J32" s="822">
        <v>20</v>
      </c>
      <c r="K32" s="837">
        <v>3.81</v>
      </c>
      <c r="L32" s="835">
        <v>4</v>
      </c>
      <c r="M32" s="835">
        <v>39</v>
      </c>
      <c r="N32" s="838">
        <v>13</v>
      </c>
      <c r="O32" s="835" t="s">
        <v>4134</v>
      </c>
      <c r="P32" s="839" t="s">
        <v>4185</v>
      </c>
      <c r="Q32" s="840">
        <f t="shared" si="0"/>
        <v>1</v>
      </c>
      <c r="R32" s="872">
        <f t="shared" si="0"/>
        <v>3.81</v>
      </c>
      <c r="S32" s="840">
        <f t="shared" si="1"/>
        <v>1</v>
      </c>
      <c r="T32" s="872">
        <f t="shared" si="2"/>
        <v>3.81</v>
      </c>
      <c r="U32" s="879">
        <v>13</v>
      </c>
      <c r="V32" s="831">
        <v>20</v>
      </c>
      <c r="W32" s="831">
        <v>7</v>
      </c>
      <c r="X32" s="877">
        <v>1.5384615384615385</v>
      </c>
      <c r="Y32" s="875">
        <v>7</v>
      </c>
    </row>
    <row r="33" spans="1:25" ht="14.45" customHeight="1" x14ac:dyDescent="0.2">
      <c r="A33" s="844" t="s">
        <v>4186</v>
      </c>
      <c r="B33" s="808">
        <v>1</v>
      </c>
      <c r="C33" s="809">
        <v>4.72</v>
      </c>
      <c r="D33" s="810">
        <v>4</v>
      </c>
      <c r="E33" s="825"/>
      <c r="F33" s="811"/>
      <c r="G33" s="812"/>
      <c r="H33" s="813"/>
      <c r="I33" s="811"/>
      <c r="J33" s="812"/>
      <c r="K33" s="814">
        <v>4.72</v>
      </c>
      <c r="L33" s="813">
        <v>2</v>
      </c>
      <c r="M33" s="813">
        <v>21</v>
      </c>
      <c r="N33" s="815">
        <v>7</v>
      </c>
      <c r="O33" s="813" t="s">
        <v>3029</v>
      </c>
      <c r="P33" s="826" t="s">
        <v>4187</v>
      </c>
      <c r="Q33" s="816">
        <f t="shared" si="0"/>
        <v>-1</v>
      </c>
      <c r="R33" s="871">
        <f t="shared" si="0"/>
        <v>-4.72</v>
      </c>
      <c r="S33" s="816">
        <f t="shared" si="1"/>
        <v>0</v>
      </c>
      <c r="T33" s="871">
        <f t="shared" si="2"/>
        <v>0</v>
      </c>
      <c r="U33" s="878" t="s">
        <v>520</v>
      </c>
      <c r="V33" s="827" t="s">
        <v>520</v>
      </c>
      <c r="W33" s="827" t="s">
        <v>520</v>
      </c>
      <c r="X33" s="876" t="s">
        <v>520</v>
      </c>
      <c r="Y33" s="874"/>
    </row>
    <row r="34" spans="1:25" ht="14.45" customHeight="1" x14ac:dyDescent="0.2">
      <c r="A34" s="844" t="s">
        <v>4188</v>
      </c>
      <c r="B34" s="808">
        <v>1</v>
      </c>
      <c r="C34" s="809">
        <v>4.2699999999999996</v>
      </c>
      <c r="D34" s="810">
        <v>4</v>
      </c>
      <c r="E34" s="825"/>
      <c r="F34" s="811"/>
      <c r="G34" s="812"/>
      <c r="H34" s="813"/>
      <c r="I34" s="811"/>
      <c r="J34" s="812"/>
      <c r="K34" s="814">
        <v>4.2699999999999996</v>
      </c>
      <c r="L34" s="813">
        <v>2</v>
      </c>
      <c r="M34" s="813">
        <v>21</v>
      </c>
      <c r="N34" s="815">
        <v>7</v>
      </c>
      <c r="O34" s="813" t="s">
        <v>4134</v>
      </c>
      <c r="P34" s="826" t="s">
        <v>4189</v>
      </c>
      <c r="Q34" s="816">
        <f t="shared" si="0"/>
        <v>-1</v>
      </c>
      <c r="R34" s="871">
        <f t="shared" si="0"/>
        <v>-4.2699999999999996</v>
      </c>
      <c r="S34" s="816">
        <f t="shared" si="1"/>
        <v>0</v>
      </c>
      <c r="T34" s="871">
        <f t="shared" si="2"/>
        <v>0</v>
      </c>
      <c r="U34" s="878" t="s">
        <v>520</v>
      </c>
      <c r="V34" s="827" t="s">
        <v>520</v>
      </c>
      <c r="W34" s="827" t="s">
        <v>520</v>
      </c>
      <c r="X34" s="876" t="s">
        <v>520</v>
      </c>
      <c r="Y34" s="874"/>
    </row>
    <row r="35" spans="1:25" ht="14.45" customHeight="1" x14ac:dyDescent="0.2">
      <c r="A35" s="845" t="s">
        <v>4190</v>
      </c>
      <c r="B35" s="841">
        <v>1</v>
      </c>
      <c r="C35" s="842">
        <v>4.6100000000000003</v>
      </c>
      <c r="D35" s="823">
        <v>3</v>
      </c>
      <c r="E35" s="843"/>
      <c r="F35" s="836"/>
      <c r="G35" s="821"/>
      <c r="H35" s="835"/>
      <c r="I35" s="836"/>
      <c r="J35" s="821"/>
      <c r="K35" s="837">
        <v>4.6100000000000003</v>
      </c>
      <c r="L35" s="835">
        <v>3</v>
      </c>
      <c r="M35" s="835">
        <v>27</v>
      </c>
      <c r="N35" s="838">
        <v>9</v>
      </c>
      <c r="O35" s="835" t="s">
        <v>4134</v>
      </c>
      <c r="P35" s="839" t="s">
        <v>4189</v>
      </c>
      <c r="Q35" s="840">
        <f t="shared" si="0"/>
        <v>-1</v>
      </c>
      <c r="R35" s="872">
        <f t="shared" si="0"/>
        <v>-4.6100000000000003</v>
      </c>
      <c r="S35" s="840">
        <f t="shared" si="1"/>
        <v>0</v>
      </c>
      <c r="T35" s="872">
        <f t="shared" si="2"/>
        <v>0</v>
      </c>
      <c r="U35" s="879" t="s">
        <v>520</v>
      </c>
      <c r="V35" s="831" t="s">
        <v>520</v>
      </c>
      <c r="W35" s="831" t="s">
        <v>520</v>
      </c>
      <c r="X35" s="877" t="s">
        <v>520</v>
      </c>
      <c r="Y35" s="875"/>
    </row>
    <row r="36" spans="1:25" ht="14.45" customHeight="1" x14ac:dyDescent="0.2">
      <c r="A36" s="844" t="s">
        <v>4191</v>
      </c>
      <c r="B36" s="827"/>
      <c r="C36" s="828"/>
      <c r="D36" s="829"/>
      <c r="E36" s="825"/>
      <c r="F36" s="811"/>
      <c r="G36" s="812"/>
      <c r="H36" s="817">
        <v>1</v>
      </c>
      <c r="I36" s="818">
        <v>2.0499999999999998</v>
      </c>
      <c r="J36" s="819">
        <v>2</v>
      </c>
      <c r="K36" s="814">
        <v>2.0499999999999998</v>
      </c>
      <c r="L36" s="813">
        <v>2</v>
      </c>
      <c r="M36" s="813">
        <v>15</v>
      </c>
      <c r="N36" s="815">
        <v>5</v>
      </c>
      <c r="O36" s="813" t="s">
        <v>4134</v>
      </c>
      <c r="P36" s="826" t="s">
        <v>4192</v>
      </c>
      <c r="Q36" s="816">
        <f t="shared" si="0"/>
        <v>1</v>
      </c>
      <c r="R36" s="871">
        <f t="shared" si="0"/>
        <v>2.0499999999999998</v>
      </c>
      <c r="S36" s="816">
        <f t="shared" si="1"/>
        <v>1</v>
      </c>
      <c r="T36" s="871">
        <f t="shared" si="2"/>
        <v>2.0499999999999998</v>
      </c>
      <c r="U36" s="878">
        <v>5</v>
      </c>
      <c r="V36" s="827">
        <v>2</v>
      </c>
      <c r="W36" s="827">
        <v>-3</v>
      </c>
      <c r="X36" s="876">
        <v>0.4</v>
      </c>
      <c r="Y36" s="874"/>
    </row>
    <row r="37" spans="1:25" ht="14.45" customHeight="1" x14ac:dyDescent="0.2">
      <c r="A37" s="845" t="s">
        <v>4193</v>
      </c>
      <c r="B37" s="831"/>
      <c r="C37" s="832"/>
      <c r="D37" s="830"/>
      <c r="E37" s="843">
        <v>1</v>
      </c>
      <c r="F37" s="836">
        <v>2.65</v>
      </c>
      <c r="G37" s="821">
        <v>5</v>
      </c>
      <c r="H37" s="833">
        <v>1</v>
      </c>
      <c r="I37" s="834">
        <v>2.14</v>
      </c>
      <c r="J37" s="820">
        <v>2</v>
      </c>
      <c r="K37" s="837">
        <v>2.65</v>
      </c>
      <c r="L37" s="835">
        <v>3</v>
      </c>
      <c r="M37" s="835">
        <v>27</v>
      </c>
      <c r="N37" s="838">
        <v>9</v>
      </c>
      <c r="O37" s="835" t="s">
        <v>4134</v>
      </c>
      <c r="P37" s="839" t="s">
        <v>4194</v>
      </c>
      <c r="Q37" s="840">
        <f t="shared" si="0"/>
        <v>1</v>
      </c>
      <c r="R37" s="872">
        <f t="shared" si="0"/>
        <v>2.14</v>
      </c>
      <c r="S37" s="840">
        <f t="shared" si="1"/>
        <v>0</v>
      </c>
      <c r="T37" s="872">
        <f t="shared" si="2"/>
        <v>-0.50999999999999979</v>
      </c>
      <c r="U37" s="879">
        <v>9</v>
      </c>
      <c r="V37" s="831">
        <v>2</v>
      </c>
      <c r="W37" s="831">
        <v>-7</v>
      </c>
      <c r="X37" s="877">
        <v>0.22222222222222221</v>
      </c>
      <c r="Y37" s="875"/>
    </row>
    <row r="38" spans="1:25" ht="14.45" customHeight="1" x14ac:dyDescent="0.2">
      <c r="A38" s="845" t="s">
        <v>4195</v>
      </c>
      <c r="B38" s="831"/>
      <c r="C38" s="832"/>
      <c r="D38" s="830"/>
      <c r="E38" s="843"/>
      <c r="F38" s="836"/>
      <c r="G38" s="821"/>
      <c r="H38" s="833">
        <v>1</v>
      </c>
      <c r="I38" s="834">
        <v>2.74</v>
      </c>
      <c r="J38" s="820">
        <v>7</v>
      </c>
      <c r="K38" s="837">
        <v>2.74</v>
      </c>
      <c r="L38" s="835">
        <v>2</v>
      </c>
      <c r="M38" s="835">
        <v>21</v>
      </c>
      <c r="N38" s="838">
        <v>7</v>
      </c>
      <c r="O38" s="835" t="s">
        <v>4134</v>
      </c>
      <c r="P38" s="839" t="s">
        <v>4196</v>
      </c>
      <c r="Q38" s="840">
        <f t="shared" si="0"/>
        <v>1</v>
      </c>
      <c r="R38" s="872">
        <f t="shared" si="0"/>
        <v>2.74</v>
      </c>
      <c r="S38" s="840">
        <f t="shared" si="1"/>
        <v>1</v>
      </c>
      <c r="T38" s="872">
        <f t="shared" si="2"/>
        <v>2.74</v>
      </c>
      <c r="U38" s="879">
        <v>7</v>
      </c>
      <c r="V38" s="831">
        <v>7</v>
      </c>
      <c r="W38" s="831">
        <v>0</v>
      </c>
      <c r="X38" s="877">
        <v>1</v>
      </c>
      <c r="Y38" s="875"/>
    </row>
    <row r="39" spans="1:25" ht="14.45" customHeight="1" x14ac:dyDescent="0.2">
      <c r="A39" s="844" t="s">
        <v>4197</v>
      </c>
      <c r="B39" s="827">
        <v>1</v>
      </c>
      <c r="C39" s="828">
        <v>4.09</v>
      </c>
      <c r="D39" s="829">
        <v>10</v>
      </c>
      <c r="E39" s="825">
        <v>1</v>
      </c>
      <c r="F39" s="811">
        <v>4.09</v>
      </c>
      <c r="G39" s="812">
        <v>15</v>
      </c>
      <c r="H39" s="817">
        <v>1</v>
      </c>
      <c r="I39" s="818">
        <v>4.09</v>
      </c>
      <c r="J39" s="819">
        <v>6</v>
      </c>
      <c r="K39" s="814">
        <v>4.09</v>
      </c>
      <c r="L39" s="813">
        <v>5</v>
      </c>
      <c r="M39" s="813">
        <v>45</v>
      </c>
      <c r="N39" s="815">
        <v>15</v>
      </c>
      <c r="O39" s="813" t="s">
        <v>4134</v>
      </c>
      <c r="P39" s="826" t="s">
        <v>4198</v>
      </c>
      <c r="Q39" s="816">
        <f t="shared" si="0"/>
        <v>0</v>
      </c>
      <c r="R39" s="871">
        <f t="shared" si="0"/>
        <v>0</v>
      </c>
      <c r="S39" s="816">
        <f t="shared" si="1"/>
        <v>0</v>
      </c>
      <c r="T39" s="871">
        <f t="shared" si="2"/>
        <v>0</v>
      </c>
      <c r="U39" s="878">
        <v>15</v>
      </c>
      <c r="V39" s="827">
        <v>6</v>
      </c>
      <c r="W39" s="827">
        <v>-9</v>
      </c>
      <c r="X39" s="876">
        <v>0.4</v>
      </c>
      <c r="Y39" s="874"/>
    </row>
    <row r="40" spans="1:25" ht="14.45" customHeight="1" x14ac:dyDescent="0.2">
      <c r="A40" s="845" t="s">
        <v>4199</v>
      </c>
      <c r="B40" s="831">
        <v>7</v>
      </c>
      <c r="C40" s="832">
        <v>26.25</v>
      </c>
      <c r="D40" s="830">
        <v>3.7</v>
      </c>
      <c r="E40" s="843">
        <v>2</v>
      </c>
      <c r="F40" s="836">
        <v>6.03</v>
      </c>
      <c r="G40" s="821">
        <v>3</v>
      </c>
      <c r="H40" s="833">
        <v>9</v>
      </c>
      <c r="I40" s="834">
        <v>47.12</v>
      </c>
      <c r="J40" s="820">
        <v>9.8000000000000007</v>
      </c>
      <c r="K40" s="837">
        <v>6.37</v>
      </c>
      <c r="L40" s="835">
        <v>7</v>
      </c>
      <c r="M40" s="835">
        <v>60</v>
      </c>
      <c r="N40" s="838">
        <v>20</v>
      </c>
      <c r="O40" s="835" t="s">
        <v>4134</v>
      </c>
      <c r="P40" s="839" t="s">
        <v>4200</v>
      </c>
      <c r="Q40" s="840">
        <f t="shared" si="0"/>
        <v>2</v>
      </c>
      <c r="R40" s="872">
        <f t="shared" si="0"/>
        <v>20.869999999999997</v>
      </c>
      <c r="S40" s="840">
        <f t="shared" si="1"/>
        <v>7</v>
      </c>
      <c r="T40" s="872">
        <f t="shared" si="2"/>
        <v>41.089999999999996</v>
      </c>
      <c r="U40" s="879">
        <v>180</v>
      </c>
      <c r="V40" s="831">
        <v>88.2</v>
      </c>
      <c r="W40" s="831">
        <v>-91.8</v>
      </c>
      <c r="X40" s="877">
        <v>0.49</v>
      </c>
      <c r="Y40" s="875">
        <v>7</v>
      </c>
    </row>
    <row r="41" spans="1:25" ht="14.45" customHeight="1" x14ac:dyDescent="0.2">
      <c r="A41" s="844" t="s">
        <v>4201</v>
      </c>
      <c r="B41" s="827"/>
      <c r="C41" s="828"/>
      <c r="D41" s="829"/>
      <c r="E41" s="825"/>
      <c r="F41" s="811"/>
      <c r="G41" s="812"/>
      <c r="H41" s="817">
        <v>1</v>
      </c>
      <c r="I41" s="818">
        <v>2.08</v>
      </c>
      <c r="J41" s="819">
        <v>2</v>
      </c>
      <c r="K41" s="814">
        <v>4.6500000000000004</v>
      </c>
      <c r="L41" s="813">
        <v>5</v>
      </c>
      <c r="M41" s="813">
        <v>45</v>
      </c>
      <c r="N41" s="815">
        <v>15</v>
      </c>
      <c r="O41" s="813" t="s">
        <v>4134</v>
      </c>
      <c r="P41" s="826" t="s">
        <v>4202</v>
      </c>
      <c r="Q41" s="816">
        <f t="shared" si="0"/>
        <v>1</v>
      </c>
      <c r="R41" s="871">
        <f t="shared" si="0"/>
        <v>2.08</v>
      </c>
      <c r="S41" s="816">
        <f t="shared" si="1"/>
        <v>1</v>
      </c>
      <c r="T41" s="871">
        <f t="shared" si="2"/>
        <v>2.08</v>
      </c>
      <c r="U41" s="878">
        <v>15</v>
      </c>
      <c r="V41" s="827">
        <v>2</v>
      </c>
      <c r="W41" s="827">
        <v>-13</v>
      </c>
      <c r="X41" s="876">
        <v>0.13333333333333333</v>
      </c>
      <c r="Y41" s="874"/>
    </row>
    <row r="42" spans="1:25" ht="14.45" customHeight="1" x14ac:dyDescent="0.2">
      <c r="A42" s="845" t="s">
        <v>4203</v>
      </c>
      <c r="B42" s="831">
        <v>1</v>
      </c>
      <c r="C42" s="832">
        <v>4.33</v>
      </c>
      <c r="D42" s="830">
        <v>4</v>
      </c>
      <c r="E42" s="843"/>
      <c r="F42" s="836"/>
      <c r="G42" s="821"/>
      <c r="H42" s="833"/>
      <c r="I42" s="834"/>
      <c r="J42" s="820"/>
      <c r="K42" s="837">
        <v>5.3</v>
      </c>
      <c r="L42" s="835">
        <v>5</v>
      </c>
      <c r="M42" s="835">
        <v>45</v>
      </c>
      <c r="N42" s="838">
        <v>15</v>
      </c>
      <c r="O42" s="835" t="s">
        <v>4134</v>
      </c>
      <c r="P42" s="839" t="s">
        <v>4204</v>
      </c>
      <c r="Q42" s="840">
        <f t="shared" si="0"/>
        <v>-1</v>
      </c>
      <c r="R42" s="872">
        <f t="shared" si="0"/>
        <v>-4.33</v>
      </c>
      <c r="S42" s="840">
        <f t="shared" si="1"/>
        <v>0</v>
      </c>
      <c r="T42" s="872">
        <f t="shared" si="2"/>
        <v>0</v>
      </c>
      <c r="U42" s="879" t="s">
        <v>520</v>
      </c>
      <c r="V42" s="831" t="s">
        <v>520</v>
      </c>
      <c r="W42" s="831" t="s">
        <v>520</v>
      </c>
      <c r="X42" s="877" t="s">
        <v>520</v>
      </c>
      <c r="Y42" s="875"/>
    </row>
    <row r="43" spans="1:25" ht="14.45" customHeight="1" x14ac:dyDescent="0.2">
      <c r="A43" s="844" t="s">
        <v>4205</v>
      </c>
      <c r="B43" s="827"/>
      <c r="C43" s="828"/>
      <c r="D43" s="829"/>
      <c r="E43" s="817">
        <v>1</v>
      </c>
      <c r="F43" s="818">
        <v>2.5499999999999998</v>
      </c>
      <c r="G43" s="819">
        <v>5</v>
      </c>
      <c r="H43" s="813"/>
      <c r="I43" s="811"/>
      <c r="J43" s="812"/>
      <c r="K43" s="814">
        <v>2.5499999999999998</v>
      </c>
      <c r="L43" s="813">
        <v>4</v>
      </c>
      <c r="M43" s="813">
        <v>36</v>
      </c>
      <c r="N43" s="815">
        <v>12</v>
      </c>
      <c r="O43" s="813" t="s">
        <v>4134</v>
      </c>
      <c r="P43" s="826" t="s">
        <v>4206</v>
      </c>
      <c r="Q43" s="816">
        <f t="shared" si="0"/>
        <v>0</v>
      </c>
      <c r="R43" s="871">
        <f t="shared" si="0"/>
        <v>0</v>
      </c>
      <c r="S43" s="816">
        <f t="shared" si="1"/>
        <v>-1</v>
      </c>
      <c r="T43" s="871">
        <f t="shared" si="2"/>
        <v>-2.5499999999999998</v>
      </c>
      <c r="U43" s="878" t="s">
        <v>520</v>
      </c>
      <c r="V43" s="827" t="s">
        <v>520</v>
      </c>
      <c r="W43" s="827" t="s">
        <v>520</v>
      </c>
      <c r="X43" s="876" t="s">
        <v>520</v>
      </c>
      <c r="Y43" s="874"/>
    </row>
    <row r="44" spans="1:25" ht="14.45" customHeight="1" x14ac:dyDescent="0.2">
      <c r="A44" s="845" t="s">
        <v>4207</v>
      </c>
      <c r="B44" s="831"/>
      <c r="C44" s="832"/>
      <c r="D44" s="830"/>
      <c r="E44" s="833">
        <v>1</v>
      </c>
      <c r="F44" s="834">
        <v>3.43</v>
      </c>
      <c r="G44" s="820">
        <v>3</v>
      </c>
      <c r="H44" s="835">
        <v>1</v>
      </c>
      <c r="I44" s="836">
        <v>4.2</v>
      </c>
      <c r="J44" s="821">
        <v>7</v>
      </c>
      <c r="K44" s="837">
        <v>4.2</v>
      </c>
      <c r="L44" s="835">
        <v>5</v>
      </c>
      <c r="M44" s="835">
        <v>45</v>
      </c>
      <c r="N44" s="838">
        <v>15</v>
      </c>
      <c r="O44" s="835" t="s">
        <v>4134</v>
      </c>
      <c r="P44" s="839" t="s">
        <v>4208</v>
      </c>
      <c r="Q44" s="840">
        <f t="shared" si="0"/>
        <v>1</v>
      </c>
      <c r="R44" s="872">
        <f t="shared" si="0"/>
        <v>4.2</v>
      </c>
      <c r="S44" s="840">
        <f t="shared" si="1"/>
        <v>0</v>
      </c>
      <c r="T44" s="872">
        <f t="shared" si="2"/>
        <v>0.77</v>
      </c>
      <c r="U44" s="879">
        <v>15</v>
      </c>
      <c r="V44" s="831">
        <v>7</v>
      </c>
      <c r="W44" s="831">
        <v>-8</v>
      </c>
      <c r="X44" s="877">
        <v>0.46666666666666667</v>
      </c>
      <c r="Y44" s="875"/>
    </row>
    <row r="45" spans="1:25" ht="14.45" customHeight="1" x14ac:dyDescent="0.2">
      <c r="A45" s="844" t="s">
        <v>4209</v>
      </c>
      <c r="B45" s="827"/>
      <c r="C45" s="828"/>
      <c r="D45" s="829"/>
      <c r="E45" s="825"/>
      <c r="F45" s="811"/>
      <c r="G45" s="812"/>
      <c r="H45" s="817">
        <v>1</v>
      </c>
      <c r="I45" s="818">
        <v>2</v>
      </c>
      <c r="J45" s="819">
        <v>3</v>
      </c>
      <c r="K45" s="814">
        <v>1</v>
      </c>
      <c r="L45" s="813">
        <v>2</v>
      </c>
      <c r="M45" s="813">
        <v>18</v>
      </c>
      <c r="N45" s="815">
        <v>6</v>
      </c>
      <c r="O45" s="813" t="s">
        <v>4134</v>
      </c>
      <c r="P45" s="826" t="s">
        <v>4210</v>
      </c>
      <c r="Q45" s="816">
        <f t="shared" si="0"/>
        <v>1</v>
      </c>
      <c r="R45" s="871">
        <f t="shared" si="0"/>
        <v>2</v>
      </c>
      <c r="S45" s="816">
        <f t="shared" si="1"/>
        <v>1</v>
      </c>
      <c r="T45" s="871">
        <f t="shared" si="2"/>
        <v>2</v>
      </c>
      <c r="U45" s="878">
        <v>6</v>
      </c>
      <c r="V45" s="827">
        <v>3</v>
      </c>
      <c r="W45" s="827">
        <v>-3</v>
      </c>
      <c r="X45" s="876">
        <v>0.5</v>
      </c>
      <c r="Y45" s="874"/>
    </row>
    <row r="46" spans="1:25" ht="14.45" customHeight="1" x14ac:dyDescent="0.2">
      <c r="A46" s="845" t="s">
        <v>4211</v>
      </c>
      <c r="B46" s="831"/>
      <c r="C46" s="832"/>
      <c r="D46" s="830"/>
      <c r="E46" s="843">
        <v>2</v>
      </c>
      <c r="F46" s="836">
        <v>13.07</v>
      </c>
      <c r="G46" s="821">
        <v>4.5</v>
      </c>
      <c r="H46" s="833">
        <v>1</v>
      </c>
      <c r="I46" s="834">
        <v>3.18</v>
      </c>
      <c r="J46" s="820">
        <v>4</v>
      </c>
      <c r="K46" s="837">
        <v>3.18</v>
      </c>
      <c r="L46" s="835">
        <v>4</v>
      </c>
      <c r="M46" s="835">
        <v>39</v>
      </c>
      <c r="N46" s="838">
        <v>13</v>
      </c>
      <c r="O46" s="835" t="s">
        <v>4134</v>
      </c>
      <c r="P46" s="839" t="s">
        <v>4212</v>
      </c>
      <c r="Q46" s="840">
        <f t="shared" si="0"/>
        <v>1</v>
      </c>
      <c r="R46" s="872">
        <f t="shared" si="0"/>
        <v>3.18</v>
      </c>
      <c r="S46" s="840">
        <f t="shared" si="1"/>
        <v>-1</v>
      </c>
      <c r="T46" s="872">
        <f t="shared" si="2"/>
        <v>-9.89</v>
      </c>
      <c r="U46" s="879">
        <v>13</v>
      </c>
      <c r="V46" s="831">
        <v>4</v>
      </c>
      <c r="W46" s="831">
        <v>-9</v>
      </c>
      <c r="X46" s="877">
        <v>0.30769230769230771</v>
      </c>
      <c r="Y46" s="875"/>
    </row>
    <row r="47" spans="1:25" ht="14.45" customHeight="1" x14ac:dyDescent="0.2">
      <c r="A47" s="844" t="s">
        <v>4213</v>
      </c>
      <c r="B47" s="827">
        <v>1</v>
      </c>
      <c r="C47" s="828">
        <v>0.64</v>
      </c>
      <c r="D47" s="829">
        <v>2</v>
      </c>
      <c r="E47" s="825"/>
      <c r="F47" s="811"/>
      <c r="G47" s="812"/>
      <c r="H47" s="817"/>
      <c r="I47" s="818"/>
      <c r="J47" s="819"/>
      <c r="K47" s="814">
        <v>0.55000000000000004</v>
      </c>
      <c r="L47" s="813">
        <v>2</v>
      </c>
      <c r="M47" s="813">
        <v>18</v>
      </c>
      <c r="N47" s="815">
        <v>6</v>
      </c>
      <c r="O47" s="813" t="s">
        <v>4134</v>
      </c>
      <c r="P47" s="826" t="s">
        <v>4214</v>
      </c>
      <c r="Q47" s="816">
        <f t="shared" si="0"/>
        <v>-1</v>
      </c>
      <c r="R47" s="871">
        <f t="shared" si="0"/>
        <v>-0.64</v>
      </c>
      <c r="S47" s="816">
        <f t="shared" si="1"/>
        <v>0</v>
      </c>
      <c r="T47" s="871">
        <f t="shared" si="2"/>
        <v>0</v>
      </c>
      <c r="U47" s="878" t="s">
        <v>520</v>
      </c>
      <c r="V47" s="827" t="s">
        <v>520</v>
      </c>
      <c r="W47" s="827" t="s">
        <v>520</v>
      </c>
      <c r="X47" s="876" t="s">
        <v>520</v>
      </c>
      <c r="Y47" s="874"/>
    </row>
    <row r="48" spans="1:25" ht="14.45" customHeight="1" x14ac:dyDescent="0.2">
      <c r="A48" s="845" t="s">
        <v>4215</v>
      </c>
      <c r="B48" s="831"/>
      <c r="C48" s="832"/>
      <c r="D48" s="830"/>
      <c r="E48" s="843"/>
      <c r="F48" s="836"/>
      <c r="G48" s="821"/>
      <c r="H48" s="833">
        <v>1</v>
      </c>
      <c r="I48" s="834">
        <v>0.84</v>
      </c>
      <c r="J48" s="822">
        <v>29</v>
      </c>
      <c r="K48" s="837">
        <v>0.76</v>
      </c>
      <c r="L48" s="835">
        <v>3</v>
      </c>
      <c r="M48" s="835">
        <v>27</v>
      </c>
      <c r="N48" s="838">
        <v>9</v>
      </c>
      <c r="O48" s="835" t="s">
        <v>4134</v>
      </c>
      <c r="P48" s="839" t="s">
        <v>4216</v>
      </c>
      <c r="Q48" s="840">
        <f t="shared" si="0"/>
        <v>1</v>
      </c>
      <c r="R48" s="872">
        <f t="shared" si="0"/>
        <v>0.84</v>
      </c>
      <c r="S48" s="840">
        <f t="shared" si="1"/>
        <v>1</v>
      </c>
      <c r="T48" s="872">
        <f t="shared" si="2"/>
        <v>0.84</v>
      </c>
      <c r="U48" s="879">
        <v>9</v>
      </c>
      <c r="V48" s="831">
        <v>29</v>
      </c>
      <c r="W48" s="831">
        <v>20</v>
      </c>
      <c r="X48" s="877">
        <v>3.2222222222222223</v>
      </c>
      <c r="Y48" s="875">
        <v>20</v>
      </c>
    </row>
    <row r="49" spans="1:25" ht="14.45" customHeight="1" x14ac:dyDescent="0.2">
      <c r="A49" s="844" t="s">
        <v>4217</v>
      </c>
      <c r="B49" s="827"/>
      <c r="C49" s="828"/>
      <c r="D49" s="829"/>
      <c r="E49" s="817">
        <v>1</v>
      </c>
      <c r="F49" s="818">
        <v>2.17</v>
      </c>
      <c r="G49" s="819">
        <v>3</v>
      </c>
      <c r="H49" s="813"/>
      <c r="I49" s="811"/>
      <c r="J49" s="812"/>
      <c r="K49" s="814">
        <v>0.6</v>
      </c>
      <c r="L49" s="813">
        <v>2</v>
      </c>
      <c r="M49" s="813">
        <v>18</v>
      </c>
      <c r="N49" s="815">
        <v>6</v>
      </c>
      <c r="O49" s="813" t="s">
        <v>4134</v>
      </c>
      <c r="P49" s="826" t="s">
        <v>4218</v>
      </c>
      <c r="Q49" s="816">
        <f t="shared" si="0"/>
        <v>0</v>
      </c>
      <c r="R49" s="871">
        <f t="shared" si="0"/>
        <v>0</v>
      </c>
      <c r="S49" s="816">
        <f t="shared" si="1"/>
        <v>-1</v>
      </c>
      <c r="T49" s="871">
        <f t="shared" si="2"/>
        <v>-2.17</v>
      </c>
      <c r="U49" s="878" t="s">
        <v>520</v>
      </c>
      <c r="V49" s="827" t="s">
        <v>520</v>
      </c>
      <c r="W49" s="827" t="s">
        <v>520</v>
      </c>
      <c r="X49" s="876" t="s">
        <v>520</v>
      </c>
      <c r="Y49" s="874"/>
    </row>
    <row r="50" spans="1:25" ht="14.45" customHeight="1" x14ac:dyDescent="0.2">
      <c r="A50" s="844" t="s">
        <v>4219</v>
      </c>
      <c r="B50" s="827"/>
      <c r="C50" s="828"/>
      <c r="D50" s="829"/>
      <c r="E50" s="825"/>
      <c r="F50" s="811"/>
      <c r="G50" s="812"/>
      <c r="H50" s="817">
        <v>1</v>
      </c>
      <c r="I50" s="818">
        <v>1.24</v>
      </c>
      <c r="J50" s="819">
        <v>5</v>
      </c>
      <c r="K50" s="814">
        <v>0.85</v>
      </c>
      <c r="L50" s="813">
        <v>3</v>
      </c>
      <c r="M50" s="813">
        <v>30</v>
      </c>
      <c r="N50" s="815">
        <v>10</v>
      </c>
      <c r="O50" s="813" t="s">
        <v>4134</v>
      </c>
      <c r="P50" s="826" t="s">
        <v>4220</v>
      </c>
      <c r="Q50" s="816">
        <f t="shared" si="0"/>
        <v>1</v>
      </c>
      <c r="R50" s="871">
        <f t="shared" si="0"/>
        <v>1.24</v>
      </c>
      <c r="S50" s="816">
        <f t="shared" si="1"/>
        <v>1</v>
      </c>
      <c r="T50" s="871">
        <f t="shared" si="2"/>
        <v>1.24</v>
      </c>
      <c r="U50" s="878">
        <v>10</v>
      </c>
      <c r="V50" s="827">
        <v>5</v>
      </c>
      <c r="W50" s="827">
        <v>-5</v>
      </c>
      <c r="X50" s="876">
        <v>0.5</v>
      </c>
      <c r="Y50" s="874"/>
    </row>
    <row r="51" spans="1:25" ht="14.45" customHeight="1" x14ac:dyDescent="0.2">
      <c r="A51" s="844" t="s">
        <v>4221</v>
      </c>
      <c r="B51" s="827">
        <v>1</v>
      </c>
      <c r="C51" s="828">
        <v>0.27</v>
      </c>
      <c r="D51" s="829">
        <v>1</v>
      </c>
      <c r="E51" s="825"/>
      <c r="F51" s="811"/>
      <c r="G51" s="812"/>
      <c r="H51" s="817">
        <v>1</v>
      </c>
      <c r="I51" s="818">
        <v>0.56999999999999995</v>
      </c>
      <c r="J51" s="819">
        <v>1</v>
      </c>
      <c r="K51" s="814">
        <v>0.46</v>
      </c>
      <c r="L51" s="813">
        <v>2</v>
      </c>
      <c r="M51" s="813">
        <v>15</v>
      </c>
      <c r="N51" s="815">
        <v>5</v>
      </c>
      <c r="O51" s="813" t="s">
        <v>4134</v>
      </c>
      <c r="P51" s="826" t="s">
        <v>4222</v>
      </c>
      <c r="Q51" s="816">
        <f t="shared" si="0"/>
        <v>0</v>
      </c>
      <c r="R51" s="871">
        <f t="shared" si="0"/>
        <v>0.29999999999999993</v>
      </c>
      <c r="S51" s="816">
        <f t="shared" si="1"/>
        <v>1</v>
      </c>
      <c r="T51" s="871">
        <f t="shared" si="2"/>
        <v>0.56999999999999995</v>
      </c>
      <c r="U51" s="878">
        <v>5</v>
      </c>
      <c r="V51" s="827">
        <v>1</v>
      </c>
      <c r="W51" s="827">
        <v>-4</v>
      </c>
      <c r="X51" s="876">
        <v>0.2</v>
      </c>
      <c r="Y51" s="874"/>
    </row>
    <row r="52" spans="1:25" ht="14.45" customHeight="1" x14ac:dyDescent="0.2">
      <c r="A52" s="845" t="s">
        <v>4223</v>
      </c>
      <c r="B52" s="831"/>
      <c r="C52" s="832"/>
      <c r="D52" s="830"/>
      <c r="E52" s="843">
        <v>1</v>
      </c>
      <c r="F52" s="836">
        <v>0.32</v>
      </c>
      <c r="G52" s="821">
        <v>1</v>
      </c>
      <c r="H52" s="833"/>
      <c r="I52" s="834"/>
      <c r="J52" s="820"/>
      <c r="K52" s="837">
        <v>0.86</v>
      </c>
      <c r="L52" s="835">
        <v>3</v>
      </c>
      <c r="M52" s="835">
        <v>27</v>
      </c>
      <c r="N52" s="838">
        <v>9</v>
      </c>
      <c r="O52" s="835" t="s">
        <v>4134</v>
      </c>
      <c r="P52" s="839" t="s">
        <v>4224</v>
      </c>
      <c r="Q52" s="840">
        <f t="shared" si="0"/>
        <v>0</v>
      </c>
      <c r="R52" s="872">
        <f t="shared" si="0"/>
        <v>0</v>
      </c>
      <c r="S52" s="840">
        <f t="shared" si="1"/>
        <v>-1</v>
      </c>
      <c r="T52" s="872">
        <f t="shared" si="2"/>
        <v>-0.32</v>
      </c>
      <c r="U52" s="879" t="s">
        <v>520</v>
      </c>
      <c r="V52" s="831" t="s">
        <v>520</v>
      </c>
      <c r="W52" s="831" t="s">
        <v>520</v>
      </c>
      <c r="X52" s="877" t="s">
        <v>520</v>
      </c>
      <c r="Y52" s="875"/>
    </row>
    <row r="53" spans="1:25" ht="14.45" customHeight="1" x14ac:dyDescent="0.2">
      <c r="A53" s="844" t="s">
        <v>4225</v>
      </c>
      <c r="B53" s="827"/>
      <c r="C53" s="828"/>
      <c r="D53" s="829"/>
      <c r="E53" s="825"/>
      <c r="F53" s="811"/>
      <c r="G53" s="812"/>
      <c r="H53" s="817">
        <v>1</v>
      </c>
      <c r="I53" s="818">
        <v>4.16</v>
      </c>
      <c r="J53" s="819">
        <v>3</v>
      </c>
      <c r="K53" s="814">
        <v>2.08</v>
      </c>
      <c r="L53" s="813">
        <v>4</v>
      </c>
      <c r="M53" s="813">
        <v>39</v>
      </c>
      <c r="N53" s="815">
        <v>13</v>
      </c>
      <c r="O53" s="813" t="s">
        <v>4134</v>
      </c>
      <c r="P53" s="826" t="s">
        <v>4226</v>
      </c>
      <c r="Q53" s="816">
        <f t="shared" si="0"/>
        <v>1</v>
      </c>
      <c r="R53" s="871">
        <f t="shared" si="0"/>
        <v>4.16</v>
      </c>
      <c r="S53" s="816">
        <f t="shared" si="1"/>
        <v>1</v>
      </c>
      <c r="T53" s="871">
        <f t="shared" si="2"/>
        <v>4.16</v>
      </c>
      <c r="U53" s="878">
        <v>13</v>
      </c>
      <c r="V53" s="827">
        <v>3</v>
      </c>
      <c r="W53" s="827">
        <v>-10</v>
      </c>
      <c r="X53" s="876">
        <v>0.23076923076923078</v>
      </c>
      <c r="Y53" s="874"/>
    </row>
    <row r="54" spans="1:25" ht="14.45" customHeight="1" x14ac:dyDescent="0.2">
      <c r="A54" s="844" t="s">
        <v>4227</v>
      </c>
      <c r="B54" s="827"/>
      <c r="C54" s="828"/>
      <c r="D54" s="829"/>
      <c r="E54" s="825"/>
      <c r="F54" s="811"/>
      <c r="G54" s="812"/>
      <c r="H54" s="817">
        <v>1</v>
      </c>
      <c r="I54" s="818">
        <v>0.83</v>
      </c>
      <c r="J54" s="824">
        <v>7</v>
      </c>
      <c r="K54" s="814">
        <v>0.47</v>
      </c>
      <c r="L54" s="813">
        <v>2</v>
      </c>
      <c r="M54" s="813">
        <v>15</v>
      </c>
      <c r="N54" s="815">
        <v>5</v>
      </c>
      <c r="O54" s="813" t="s">
        <v>4134</v>
      </c>
      <c r="P54" s="826" t="s">
        <v>4228</v>
      </c>
      <c r="Q54" s="816">
        <f t="shared" si="0"/>
        <v>1</v>
      </c>
      <c r="R54" s="871">
        <f t="shared" si="0"/>
        <v>0.83</v>
      </c>
      <c r="S54" s="816">
        <f t="shared" si="1"/>
        <v>1</v>
      </c>
      <c r="T54" s="871">
        <f t="shared" si="2"/>
        <v>0.83</v>
      </c>
      <c r="U54" s="878">
        <v>5</v>
      </c>
      <c r="V54" s="827">
        <v>7</v>
      </c>
      <c r="W54" s="827">
        <v>2</v>
      </c>
      <c r="X54" s="876">
        <v>1.4</v>
      </c>
      <c r="Y54" s="874">
        <v>2</v>
      </c>
    </row>
    <row r="55" spans="1:25" ht="14.45" customHeight="1" x14ac:dyDescent="0.2">
      <c r="A55" s="844" t="s">
        <v>4229</v>
      </c>
      <c r="B55" s="808">
        <v>1</v>
      </c>
      <c r="C55" s="809">
        <v>4.03</v>
      </c>
      <c r="D55" s="810">
        <v>2</v>
      </c>
      <c r="E55" s="825"/>
      <c r="F55" s="811"/>
      <c r="G55" s="812"/>
      <c r="H55" s="813"/>
      <c r="I55" s="811"/>
      <c r="J55" s="812"/>
      <c r="K55" s="814">
        <v>4.99</v>
      </c>
      <c r="L55" s="813">
        <v>3</v>
      </c>
      <c r="M55" s="813">
        <v>27</v>
      </c>
      <c r="N55" s="815">
        <v>9</v>
      </c>
      <c r="O55" s="813" t="s">
        <v>4134</v>
      </c>
      <c r="P55" s="826" t="s">
        <v>4230</v>
      </c>
      <c r="Q55" s="816">
        <f t="shared" si="0"/>
        <v>-1</v>
      </c>
      <c r="R55" s="871">
        <f t="shared" si="0"/>
        <v>-4.03</v>
      </c>
      <c r="S55" s="816">
        <f t="shared" si="1"/>
        <v>0</v>
      </c>
      <c r="T55" s="871">
        <f t="shared" si="2"/>
        <v>0</v>
      </c>
      <c r="U55" s="878" t="s">
        <v>520</v>
      </c>
      <c r="V55" s="827" t="s">
        <v>520</v>
      </c>
      <c r="W55" s="827" t="s">
        <v>520</v>
      </c>
      <c r="X55" s="876" t="s">
        <v>520</v>
      </c>
      <c r="Y55" s="874"/>
    </row>
    <row r="56" spans="1:25" ht="14.45" customHeight="1" x14ac:dyDescent="0.2">
      <c r="A56" s="845" t="s">
        <v>4231</v>
      </c>
      <c r="B56" s="841">
        <v>1</v>
      </c>
      <c r="C56" s="842">
        <v>7.41</v>
      </c>
      <c r="D56" s="823">
        <v>6</v>
      </c>
      <c r="E56" s="843">
        <v>1</v>
      </c>
      <c r="F56" s="836">
        <v>7.41</v>
      </c>
      <c r="G56" s="821">
        <v>6</v>
      </c>
      <c r="H56" s="835"/>
      <c r="I56" s="836"/>
      <c r="J56" s="821"/>
      <c r="K56" s="837">
        <v>7.41</v>
      </c>
      <c r="L56" s="835">
        <v>5</v>
      </c>
      <c r="M56" s="835">
        <v>45</v>
      </c>
      <c r="N56" s="838">
        <v>15</v>
      </c>
      <c r="O56" s="835" t="s">
        <v>4134</v>
      </c>
      <c r="P56" s="839" t="s">
        <v>4232</v>
      </c>
      <c r="Q56" s="840">
        <f t="shared" si="0"/>
        <v>-1</v>
      </c>
      <c r="R56" s="872">
        <f t="shared" si="0"/>
        <v>-7.41</v>
      </c>
      <c r="S56" s="840">
        <f t="shared" si="1"/>
        <v>-1</v>
      </c>
      <c r="T56" s="872">
        <f t="shared" si="2"/>
        <v>-7.41</v>
      </c>
      <c r="U56" s="879" t="s">
        <v>520</v>
      </c>
      <c r="V56" s="831" t="s">
        <v>520</v>
      </c>
      <c r="W56" s="831" t="s">
        <v>520</v>
      </c>
      <c r="X56" s="877" t="s">
        <v>520</v>
      </c>
      <c r="Y56" s="875"/>
    </row>
    <row r="57" spans="1:25" ht="14.45" customHeight="1" x14ac:dyDescent="0.2">
      <c r="A57" s="844" t="s">
        <v>4233</v>
      </c>
      <c r="B57" s="827"/>
      <c r="C57" s="828"/>
      <c r="D57" s="829"/>
      <c r="E57" s="817">
        <v>1</v>
      </c>
      <c r="F57" s="818">
        <v>2.61</v>
      </c>
      <c r="G57" s="819">
        <v>3</v>
      </c>
      <c r="H57" s="813"/>
      <c r="I57" s="811"/>
      <c r="J57" s="812"/>
      <c r="K57" s="814">
        <v>3.11</v>
      </c>
      <c r="L57" s="813">
        <v>4</v>
      </c>
      <c r="M57" s="813">
        <v>39</v>
      </c>
      <c r="N57" s="815">
        <v>13</v>
      </c>
      <c r="O57" s="813" t="s">
        <v>4134</v>
      </c>
      <c r="P57" s="826" t="s">
        <v>4234</v>
      </c>
      <c r="Q57" s="816">
        <f t="shared" si="0"/>
        <v>0</v>
      </c>
      <c r="R57" s="871">
        <f t="shared" si="0"/>
        <v>0</v>
      </c>
      <c r="S57" s="816">
        <f t="shared" si="1"/>
        <v>-1</v>
      </c>
      <c r="T57" s="871">
        <f t="shared" si="2"/>
        <v>-2.61</v>
      </c>
      <c r="U57" s="878" t="s">
        <v>520</v>
      </c>
      <c r="V57" s="827" t="s">
        <v>520</v>
      </c>
      <c r="W57" s="827" t="s">
        <v>520</v>
      </c>
      <c r="X57" s="876" t="s">
        <v>520</v>
      </c>
      <c r="Y57" s="874"/>
    </row>
    <row r="58" spans="1:25" ht="14.45" customHeight="1" x14ac:dyDescent="0.2">
      <c r="A58" s="844" t="s">
        <v>4235</v>
      </c>
      <c r="B58" s="827"/>
      <c r="C58" s="828"/>
      <c r="D58" s="829"/>
      <c r="E58" s="817"/>
      <c r="F58" s="818"/>
      <c r="G58" s="819"/>
      <c r="H58" s="813">
        <v>2</v>
      </c>
      <c r="I58" s="811">
        <v>9.1</v>
      </c>
      <c r="J58" s="824">
        <v>39</v>
      </c>
      <c r="K58" s="814">
        <v>2.38</v>
      </c>
      <c r="L58" s="813">
        <v>4</v>
      </c>
      <c r="M58" s="813">
        <v>33</v>
      </c>
      <c r="N58" s="815">
        <v>11</v>
      </c>
      <c r="O58" s="813" t="s">
        <v>4134</v>
      </c>
      <c r="P58" s="826" t="s">
        <v>4236</v>
      </c>
      <c r="Q58" s="816">
        <f t="shared" si="0"/>
        <v>2</v>
      </c>
      <c r="R58" s="871">
        <f t="shared" si="0"/>
        <v>9.1</v>
      </c>
      <c r="S58" s="816">
        <f t="shared" si="1"/>
        <v>2</v>
      </c>
      <c r="T58" s="871">
        <f t="shared" si="2"/>
        <v>9.1</v>
      </c>
      <c r="U58" s="878">
        <v>22</v>
      </c>
      <c r="V58" s="827">
        <v>78</v>
      </c>
      <c r="W58" s="827">
        <v>56</v>
      </c>
      <c r="X58" s="876">
        <v>3.5454545454545454</v>
      </c>
      <c r="Y58" s="874">
        <v>56</v>
      </c>
    </row>
    <row r="59" spans="1:25" ht="14.45" customHeight="1" x14ac:dyDescent="0.2">
      <c r="A59" s="845" t="s">
        <v>4237</v>
      </c>
      <c r="B59" s="831"/>
      <c r="C59" s="832"/>
      <c r="D59" s="830"/>
      <c r="E59" s="833">
        <v>1</v>
      </c>
      <c r="F59" s="834">
        <v>2.76</v>
      </c>
      <c r="G59" s="820">
        <v>7</v>
      </c>
      <c r="H59" s="835"/>
      <c r="I59" s="836"/>
      <c r="J59" s="821"/>
      <c r="K59" s="837">
        <v>2.76</v>
      </c>
      <c r="L59" s="835">
        <v>4</v>
      </c>
      <c r="M59" s="835">
        <v>39</v>
      </c>
      <c r="N59" s="838">
        <v>13</v>
      </c>
      <c r="O59" s="835" t="s">
        <v>4134</v>
      </c>
      <c r="P59" s="839" t="s">
        <v>4236</v>
      </c>
      <c r="Q59" s="840">
        <f t="shared" si="0"/>
        <v>0</v>
      </c>
      <c r="R59" s="872">
        <f t="shared" si="0"/>
        <v>0</v>
      </c>
      <c r="S59" s="840">
        <f t="shared" si="1"/>
        <v>-1</v>
      </c>
      <c r="T59" s="872">
        <f t="shared" si="2"/>
        <v>-2.76</v>
      </c>
      <c r="U59" s="879" t="s">
        <v>520</v>
      </c>
      <c r="V59" s="831" t="s">
        <v>520</v>
      </c>
      <c r="W59" s="831" t="s">
        <v>520</v>
      </c>
      <c r="X59" s="877" t="s">
        <v>520</v>
      </c>
      <c r="Y59" s="875"/>
    </row>
    <row r="60" spans="1:25" ht="14.45" customHeight="1" x14ac:dyDescent="0.2">
      <c r="A60" s="845" t="s">
        <v>4238</v>
      </c>
      <c r="B60" s="831">
        <v>2</v>
      </c>
      <c r="C60" s="832">
        <v>9.27</v>
      </c>
      <c r="D60" s="830">
        <v>4.5</v>
      </c>
      <c r="E60" s="833">
        <v>2</v>
      </c>
      <c r="F60" s="834">
        <v>6.89</v>
      </c>
      <c r="G60" s="820">
        <v>9</v>
      </c>
      <c r="H60" s="835"/>
      <c r="I60" s="836"/>
      <c r="J60" s="821"/>
      <c r="K60" s="837">
        <v>3.7</v>
      </c>
      <c r="L60" s="835">
        <v>6</v>
      </c>
      <c r="M60" s="835">
        <v>51</v>
      </c>
      <c r="N60" s="838">
        <v>17</v>
      </c>
      <c r="O60" s="835" t="s">
        <v>4134</v>
      </c>
      <c r="P60" s="839" t="s">
        <v>4236</v>
      </c>
      <c r="Q60" s="840">
        <f t="shared" si="0"/>
        <v>-2</v>
      </c>
      <c r="R60" s="872">
        <f t="shared" si="0"/>
        <v>-9.27</v>
      </c>
      <c r="S60" s="840">
        <f t="shared" si="1"/>
        <v>-2</v>
      </c>
      <c r="T60" s="872">
        <f t="shared" si="2"/>
        <v>-6.89</v>
      </c>
      <c r="U60" s="879" t="s">
        <v>520</v>
      </c>
      <c r="V60" s="831" t="s">
        <v>520</v>
      </c>
      <c r="W60" s="831" t="s">
        <v>520</v>
      </c>
      <c r="X60" s="877" t="s">
        <v>520</v>
      </c>
      <c r="Y60" s="875"/>
    </row>
    <row r="61" spans="1:25" ht="14.45" customHeight="1" x14ac:dyDescent="0.2">
      <c r="A61" s="844" t="s">
        <v>4239</v>
      </c>
      <c r="B61" s="827">
        <v>1</v>
      </c>
      <c r="C61" s="828">
        <v>0.75</v>
      </c>
      <c r="D61" s="829">
        <v>4</v>
      </c>
      <c r="E61" s="817"/>
      <c r="F61" s="818"/>
      <c r="G61" s="819"/>
      <c r="H61" s="813"/>
      <c r="I61" s="811"/>
      <c r="J61" s="812"/>
      <c r="K61" s="814">
        <v>0.61</v>
      </c>
      <c r="L61" s="813">
        <v>1</v>
      </c>
      <c r="M61" s="813">
        <v>12</v>
      </c>
      <c r="N61" s="815">
        <v>4</v>
      </c>
      <c r="O61" s="813" t="s">
        <v>4134</v>
      </c>
      <c r="P61" s="826" t="s">
        <v>4240</v>
      </c>
      <c r="Q61" s="816">
        <f t="shared" si="0"/>
        <v>-1</v>
      </c>
      <c r="R61" s="871">
        <f t="shared" si="0"/>
        <v>-0.75</v>
      </c>
      <c r="S61" s="816">
        <f t="shared" si="1"/>
        <v>0</v>
      </c>
      <c r="T61" s="871">
        <f t="shared" si="2"/>
        <v>0</v>
      </c>
      <c r="U61" s="878" t="s">
        <v>520</v>
      </c>
      <c r="V61" s="827" t="s">
        <v>520</v>
      </c>
      <c r="W61" s="827" t="s">
        <v>520</v>
      </c>
      <c r="X61" s="876" t="s">
        <v>520</v>
      </c>
      <c r="Y61" s="874"/>
    </row>
    <row r="62" spans="1:25" ht="14.45" customHeight="1" x14ac:dyDescent="0.2">
      <c r="A62" s="845" t="s">
        <v>4241</v>
      </c>
      <c r="B62" s="831"/>
      <c r="C62" s="832"/>
      <c r="D62" s="830"/>
      <c r="E62" s="833">
        <v>1</v>
      </c>
      <c r="F62" s="834">
        <v>1.89</v>
      </c>
      <c r="G62" s="820">
        <v>16</v>
      </c>
      <c r="H62" s="835"/>
      <c r="I62" s="836"/>
      <c r="J62" s="821"/>
      <c r="K62" s="837">
        <v>1.25</v>
      </c>
      <c r="L62" s="835">
        <v>3</v>
      </c>
      <c r="M62" s="835">
        <v>27</v>
      </c>
      <c r="N62" s="838">
        <v>9</v>
      </c>
      <c r="O62" s="835" t="s">
        <v>4134</v>
      </c>
      <c r="P62" s="839" t="s">
        <v>4240</v>
      </c>
      <c r="Q62" s="840">
        <f t="shared" si="0"/>
        <v>0</v>
      </c>
      <c r="R62" s="872">
        <f t="shared" si="0"/>
        <v>0</v>
      </c>
      <c r="S62" s="840">
        <f t="shared" si="1"/>
        <v>-1</v>
      </c>
      <c r="T62" s="872">
        <f t="shared" si="2"/>
        <v>-1.89</v>
      </c>
      <c r="U62" s="879" t="s">
        <v>520</v>
      </c>
      <c r="V62" s="831" t="s">
        <v>520</v>
      </c>
      <c r="W62" s="831" t="s">
        <v>520</v>
      </c>
      <c r="X62" s="877" t="s">
        <v>520</v>
      </c>
      <c r="Y62" s="875"/>
    </row>
    <row r="63" spans="1:25" ht="14.45" customHeight="1" x14ac:dyDescent="0.2">
      <c r="A63" s="844" t="s">
        <v>4242</v>
      </c>
      <c r="B63" s="827">
        <v>1</v>
      </c>
      <c r="C63" s="828">
        <v>0.62</v>
      </c>
      <c r="D63" s="829">
        <v>2</v>
      </c>
      <c r="E63" s="817">
        <v>1</v>
      </c>
      <c r="F63" s="818">
        <v>0.91</v>
      </c>
      <c r="G63" s="819">
        <v>3</v>
      </c>
      <c r="H63" s="813"/>
      <c r="I63" s="811"/>
      <c r="J63" s="812"/>
      <c r="K63" s="814">
        <v>1.19</v>
      </c>
      <c r="L63" s="813">
        <v>4</v>
      </c>
      <c r="M63" s="813">
        <v>33</v>
      </c>
      <c r="N63" s="815">
        <v>11</v>
      </c>
      <c r="O63" s="813" t="s">
        <v>4134</v>
      </c>
      <c r="P63" s="826" t="s">
        <v>4243</v>
      </c>
      <c r="Q63" s="816">
        <f t="shared" si="0"/>
        <v>-1</v>
      </c>
      <c r="R63" s="871">
        <f t="shared" si="0"/>
        <v>-0.62</v>
      </c>
      <c r="S63" s="816">
        <f t="shared" si="1"/>
        <v>-1</v>
      </c>
      <c r="T63" s="871">
        <f t="shared" si="2"/>
        <v>-0.91</v>
      </c>
      <c r="U63" s="878" t="s">
        <v>520</v>
      </c>
      <c r="V63" s="827" t="s">
        <v>520</v>
      </c>
      <c r="W63" s="827" t="s">
        <v>520</v>
      </c>
      <c r="X63" s="876" t="s">
        <v>520</v>
      </c>
      <c r="Y63" s="874"/>
    </row>
    <row r="64" spans="1:25" ht="14.45" customHeight="1" x14ac:dyDescent="0.2">
      <c r="A64" s="844" t="s">
        <v>4244</v>
      </c>
      <c r="B64" s="808">
        <v>1</v>
      </c>
      <c r="C64" s="809">
        <v>0.36</v>
      </c>
      <c r="D64" s="810">
        <v>4</v>
      </c>
      <c r="E64" s="825"/>
      <c r="F64" s="811"/>
      <c r="G64" s="812"/>
      <c r="H64" s="813"/>
      <c r="I64" s="811"/>
      <c r="J64" s="812"/>
      <c r="K64" s="814">
        <v>0.32</v>
      </c>
      <c r="L64" s="813">
        <v>1</v>
      </c>
      <c r="M64" s="813">
        <v>9</v>
      </c>
      <c r="N64" s="815">
        <v>3</v>
      </c>
      <c r="O64" s="813" t="s">
        <v>4134</v>
      </c>
      <c r="P64" s="826" t="s">
        <v>4245</v>
      </c>
      <c r="Q64" s="816">
        <f t="shared" si="0"/>
        <v>-1</v>
      </c>
      <c r="R64" s="871">
        <f t="shared" si="0"/>
        <v>-0.36</v>
      </c>
      <c r="S64" s="816">
        <f t="shared" si="1"/>
        <v>0</v>
      </c>
      <c r="T64" s="871">
        <f t="shared" si="2"/>
        <v>0</v>
      </c>
      <c r="U64" s="878" t="s">
        <v>520</v>
      </c>
      <c r="V64" s="827" t="s">
        <v>520</v>
      </c>
      <c r="W64" s="827" t="s">
        <v>520</v>
      </c>
      <c r="X64" s="876" t="s">
        <v>520</v>
      </c>
      <c r="Y64" s="874"/>
    </row>
    <row r="65" spans="1:25" ht="14.45" customHeight="1" x14ac:dyDescent="0.2">
      <c r="A65" s="844" t="s">
        <v>4246</v>
      </c>
      <c r="B65" s="827"/>
      <c r="C65" s="828"/>
      <c r="D65" s="829"/>
      <c r="E65" s="817">
        <v>1</v>
      </c>
      <c r="F65" s="818">
        <v>0.79</v>
      </c>
      <c r="G65" s="819">
        <v>2</v>
      </c>
      <c r="H65" s="813"/>
      <c r="I65" s="811"/>
      <c r="J65" s="812"/>
      <c r="K65" s="814">
        <v>1.86</v>
      </c>
      <c r="L65" s="813">
        <v>6</v>
      </c>
      <c r="M65" s="813">
        <v>51</v>
      </c>
      <c r="N65" s="815">
        <v>17</v>
      </c>
      <c r="O65" s="813" t="s">
        <v>4134</v>
      </c>
      <c r="P65" s="826" t="s">
        <v>4247</v>
      </c>
      <c r="Q65" s="816">
        <f t="shared" si="0"/>
        <v>0</v>
      </c>
      <c r="R65" s="871">
        <f t="shared" si="0"/>
        <v>0</v>
      </c>
      <c r="S65" s="816">
        <f t="shared" si="1"/>
        <v>-1</v>
      </c>
      <c r="T65" s="871">
        <f t="shared" si="2"/>
        <v>-0.79</v>
      </c>
      <c r="U65" s="878" t="s">
        <v>520</v>
      </c>
      <c r="V65" s="827" t="s">
        <v>520</v>
      </c>
      <c r="W65" s="827" t="s">
        <v>520</v>
      </c>
      <c r="X65" s="876" t="s">
        <v>520</v>
      </c>
      <c r="Y65" s="874"/>
    </row>
    <row r="66" spans="1:25" ht="14.45" customHeight="1" x14ac:dyDescent="0.2">
      <c r="A66" s="844" t="s">
        <v>4248</v>
      </c>
      <c r="B66" s="827"/>
      <c r="C66" s="828"/>
      <c r="D66" s="829"/>
      <c r="E66" s="825"/>
      <c r="F66" s="811"/>
      <c r="G66" s="812"/>
      <c r="H66" s="817">
        <v>2</v>
      </c>
      <c r="I66" s="818">
        <v>1.2</v>
      </c>
      <c r="J66" s="819">
        <v>2.5</v>
      </c>
      <c r="K66" s="814">
        <v>0.51</v>
      </c>
      <c r="L66" s="813">
        <v>2</v>
      </c>
      <c r="M66" s="813">
        <v>21</v>
      </c>
      <c r="N66" s="815">
        <v>7</v>
      </c>
      <c r="O66" s="813" t="s">
        <v>4134</v>
      </c>
      <c r="P66" s="826" t="s">
        <v>4249</v>
      </c>
      <c r="Q66" s="816">
        <f t="shared" si="0"/>
        <v>2</v>
      </c>
      <c r="R66" s="871">
        <f t="shared" si="0"/>
        <v>1.2</v>
      </c>
      <c r="S66" s="816">
        <f t="shared" si="1"/>
        <v>2</v>
      </c>
      <c r="T66" s="871">
        <f t="shared" si="2"/>
        <v>1.2</v>
      </c>
      <c r="U66" s="878">
        <v>14</v>
      </c>
      <c r="V66" s="827">
        <v>5</v>
      </c>
      <c r="W66" s="827">
        <v>-9</v>
      </c>
      <c r="X66" s="876">
        <v>0.35714285714285715</v>
      </c>
      <c r="Y66" s="874"/>
    </row>
    <row r="67" spans="1:25" ht="14.45" customHeight="1" x14ac:dyDescent="0.2">
      <c r="A67" s="844" t="s">
        <v>4250</v>
      </c>
      <c r="B67" s="827"/>
      <c r="C67" s="828"/>
      <c r="D67" s="829"/>
      <c r="E67" s="817">
        <v>1</v>
      </c>
      <c r="F67" s="818">
        <v>0.3</v>
      </c>
      <c r="G67" s="819">
        <v>2</v>
      </c>
      <c r="H67" s="813"/>
      <c r="I67" s="811"/>
      <c r="J67" s="812"/>
      <c r="K67" s="814">
        <v>0.3</v>
      </c>
      <c r="L67" s="813">
        <v>1</v>
      </c>
      <c r="M67" s="813">
        <v>12</v>
      </c>
      <c r="N67" s="815">
        <v>4</v>
      </c>
      <c r="O67" s="813" t="s">
        <v>4134</v>
      </c>
      <c r="P67" s="826" t="s">
        <v>4251</v>
      </c>
      <c r="Q67" s="816">
        <f t="shared" si="0"/>
        <v>0</v>
      </c>
      <c r="R67" s="871">
        <f t="shared" si="0"/>
        <v>0</v>
      </c>
      <c r="S67" s="816">
        <f t="shared" si="1"/>
        <v>-1</v>
      </c>
      <c r="T67" s="871">
        <f t="shared" si="2"/>
        <v>-0.3</v>
      </c>
      <c r="U67" s="878" t="s">
        <v>520</v>
      </c>
      <c r="V67" s="827" t="s">
        <v>520</v>
      </c>
      <c r="W67" s="827" t="s">
        <v>520</v>
      </c>
      <c r="X67" s="876" t="s">
        <v>520</v>
      </c>
      <c r="Y67" s="874"/>
    </row>
    <row r="68" spans="1:25" ht="14.45" customHeight="1" x14ac:dyDescent="0.2">
      <c r="A68" s="844" t="s">
        <v>4252</v>
      </c>
      <c r="B68" s="827"/>
      <c r="C68" s="828"/>
      <c r="D68" s="829"/>
      <c r="E68" s="817">
        <v>1</v>
      </c>
      <c r="F68" s="818">
        <v>1.48</v>
      </c>
      <c r="G68" s="819">
        <v>7</v>
      </c>
      <c r="H68" s="813"/>
      <c r="I68" s="811"/>
      <c r="J68" s="812"/>
      <c r="K68" s="814">
        <v>1.3</v>
      </c>
      <c r="L68" s="813">
        <v>2</v>
      </c>
      <c r="M68" s="813">
        <v>18</v>
      </c>
      <c r="N68" s="815">
        <v>6</v>
      </c>
      <c r="O68" s="813" t="s">
        <v>4134</v>
      </c>
      <c r="P68" s="826" t="s">
        <v>4253</v>
      </c>
      <c r="Q68" s="816">
        <f t="shared" si="0"/>
        <v>0</v>
      </c>
      <c r="R68" s="871">
        <f t="shared" si="0"/>
        <v>0</v>
      </c>
      <c r="S68" s="816">
        <f t="shared" si="1"/>
        <v>-1</v>
      </c>
      <c r="T68" s="871">
        <f t="shared" si="2"/>
        <v>-1.48</v>
      </c>
      <c r="U68" s="878" t="s">
        <v>520</v>
      </c>
      <c r="V68" s="827" t="s">
        <v>520</v>
      </c>
      <c r="W68" s="827" t="s">
        <v>520</v>
      </c>
      <c r="X68" s="876" t="s">
        <v>520</v>
      </c>
      <c r="Y68" s="874"/>
    </row>
    <row r="69" spans="1:25" ht="14.45" customHeight="1" x14ac:dyDescent="0.2">
      <c r="A69" s="844" t="s">
        <v>4254</v>
      </c>
      <c r="B69" s="808">
        <v>1</v>
      </c>
      <c r="C69" s="809">
        <v>2.96</v>
      </c>
      <c r="D69" s="810">
        <v>10</v>
      </c>
      <c r="E69" s="825"/>
      <c r="F69" s="811"/>
      <c r="G69" s="812"/>
      <c r="H69" s="813"/>
      <c r="I69" s="811"/>
      <c r="J69" s="812"/>
      <c r="K69" s="814">
        <v>2.96</v>
      </c>
      <c r="L69" s="813">
        <v>4</v>
      </c>
      <c r="M69" s="813">
        <v>33</v>
      </c>
      <c r="N69" s="815">
        <v>11</v>
      </c>
      <c r="O69" s="813" t="s">
        <v>4134</v>
      </c>
      <c r="P69" s="826" t="s">
        <v>4255</v>
      </c>
      <c r="Q69" s="816">
        <f t="shared" si="0"/>
        <v>-1</v>
      </c>
      <c r="R69" s="871">
        <f t="shared" si="0"/>
        <v>-2.96</v>
      </c>
      <c r="S69" s="816">
        <f t="shared" si="1"/>
        <v>0</v>
      </c>
      <c r="T69" s="871">
        <f t="shared" si="2"/>
        <v>0</v>
      </c>
      <c r="U69" s="878" t="s">
        <v>520</v>
      </c>
      <c r="V69" s="827" t="s">
        <v>520</v>
      </c>
      <c r="W69" s="827" t="s">
        <v>520</v>
      </c>
      <c r="X69" s="876" t="s">
        <v>520</v>
      </c>
      <c r="Y69" s="874"/>
    </row>
    <row r="70" spans="1:25" ht="14.45" customHeight="1" x14ac:dyDescent="0.2">
      <c r="A70" s="844" t="s">
        <v>4256</v>
      </c>
      <c r="B70" s="827"/>
      <c r="C70" s="828"/>
      <c r="D70" s="829"/>
      <c r="E70" s="825"/>
      <c r="F70" s="811"/>
      <c r="G70" s="812"/>
      <c r="H70" s="817">
        <v>1</v>
      </c>
      <c r="I70" s="818">
        <v>2.71</v>
      </c>
      <c r="J70" s="819">
        <v>4</v>
      </c>
      <c r="K70" s="814">
        <v>3.32</v>
      </c>
      <c r="L70" s="813">
        <v>5</v>
      </c>
      <c r="M70" s="813">
        <v>45</v>
      </c>
      <c r="N70" s="815">
        <v>15</v>
      </c>
      <c r="O70" s="813" t="s">
        <v>4134</v>
      </c>
      <c r="P70" s="826" t="s">
        <v>4257</v>
      </c>
      <c r="Q70" s="816">
        <f t="shared" ref="Q70:R94" si="3">H70-B70</f>
        <v>1</v>
      </c>
      <c r="R70" s="871">
        <f t="shared" si="3"/>
        <v>2.71</v>
      </c>
      <c r="S70" s="816">
        <f t="shared" ref="S70:S94" si="4">H70-E70</f>
        <v>1</v>
      </c>
      <c r="T70" s="871">
        <f t="shared" ref="T70:T94" si="5">I70-F70</f>
        <v>2.71</v>
      </c>
      <c r="U70" s="878">
        <v>15</v>
      </c>
      <c r="V70" s="827">
        <v>4</v>
      </c>
      <c r="W70" s="827">
        <v>-11</v>
      </c>
      <c r="X70" s="876">
        <v>0.26666666666666666</v>
      </c>
      <c r="Y70" s="874"/>
    </row>
    <row r="71" spans="1:25" ht="14.45" customHeight="1" x14ac:dyDescent="0.2">
      <c r="A71" s="844" t="s">
        <v>4258</v>
      </c>
      <c r="B71" s="827"/>
      <c r="C71" s="828"/>
      <c r="D71" s="829"/>
      <c r="E71" s="825"/>
      <c r="F71" s="811"/>
      <c r="G71" s="812"/>
      <c r="H71" s="817">
        <v>1</v>
      </c>
      <c r="I71" s="818">
        <v>1.2</v>
      </c>
      <c r="J71" s="824">
        <v>7</v>
      </c>
      <c r="K71" s="814">
        <v>1.2</v>
      </c>
      <c r="L71" s="813">
        <v>2</v>
      </c>
      <c r="M71" s="813">
        <v>18</v>
      </c>
      <c r="N71" s="815">
        <v>6</v>
      </c>
      <c r="O71" s="813" t="s">
        <v>4134</v>
      </c>
      <c r="P71" s="826" t="s">
        <v>4259</v>
      </c>
      <c r="Q71" s="816">
        <f t="shared" si="3"/>
        <v>1</v>
      </c>
      <c r="R71" s="871">
        <f t="shared" si="3"/>
        <v>1.2</v>
      </c>
      <c r="S71" s="816">
        <f t="shared" si="4"/>
        <v>1</v>
      </c>
      <c r="T71" s="871">
        <f t="shared" si="5"/>
        <v>1.2</v>
      </c>
      <c r="U71" s="878">
        <v>6</v>
      </c>
      <c r="V71" s="827">
        <v>7</v>
      </c>
      <c r="W71" s="827">
        <v>1</v>
      </c>
      <c r="X71" s="876">
        <v>1.1666666666666667</v>
      </c>
      <c r="Y71" s="874">
        <v>1</v>
      </c>
    </row>
    <row r="72" spans="1:25" ht="14.45" customHeight="1" x14ac:dyDescent="0.2">
      <c r="A72" s="844" t="s">
        <v>4260</v>
      </c>
      <c r="B72" s="827"/>
      <c r="C72" s="828"/>
      <c r="D72" s="829"/>
      <c r="E72" s="825"/>
      <c r="F72" s="811"/>
      <c r="G72" s="812"/>
      <c r="H72" s="817">
        <v>1</v>
      </c>
      <c r="I72" s="818">
        <v>0.81</v>
      </c>
      <c r="J72" s="819">
        <v>3</v>
      </c>
      <c r="K72" s="814">
        <v>0.77</v>
      </c>
      <c r="L72" s="813">
        <v>3</v>
      </c>
      <c r="M72" s="813">
        <v>30</v>
      </c>
      <c r="N72" s="815">
        <v>10</v>
      </c>
      <c r="O72" s="813" t="s">
        <v>4134</v>
      </c>
      <c r="P72" s="826" t="s">
        <v>4261</v>
      </c>
      <c r="Q72" s="816">
        <f t="shared" si="3"/>
        <v>1</v>
      </c>
      <c r="R72" s="871">
        <f t="shared" si="3"/>
        <v>0.81</v>
      </c>
      <c r="S72" s="816">
        <f t="shared" si="4"/>
        <v>1</v>
      </c>
      <c r="T72" s="871">
        <f t="shared" si="5"/>
        <v>0.81</v>
      </c>
      <c r="U72" s="878">
        <v>10</v>
      </c>
      <c r="V72" s="827">
        <v>3</v>
      </c>
      <c r="W72" s="827">
        <v>-7</v>
      </c>
      <c r="X72" s="876">
        <v>0.3</v>
      </c>
      <c r="Y72" s="874"/>
    </row>
    <row r="73" spans="1:25" ht="14.45" customHeight="1" x14ac:dyDescent="0.2">
      <c r="A73" s="844" t="s">
        <v>4262</v>
      </c>
      <c r="B73" s="827"/>
      <c r="C73" s="828"/>
      <c r="D73" s="829"/>
      <c r="E73" s="825"/>
      <c r="F73" s="811"/>
      <c r="G73" s="812"/>
      <c r="H73" s="817">
        <v>1</v>
      </c>
      <c r="I73" s="818">
        <v>0.31</v>
      </c>
      <c r="J73" s="819">
        <v>2</v>
      </c>
      <c r="K73" s="814">
        <v>0.31</v>
      </c>
      <c r="L73" s="813">
        <v>1</v>
      </c>
      <c r="M73" s="813">
        <v>9</v>
      </c>
      <c r="N73" s="815">
        <v>3</v>
      </c>
      <c r="O73" s="813" t="s">
        <v>4134</v>
      </c>
      <c r="P73" s="826" t="s">
        <v>4263</v>
      </c>
      <c r="Q73" s="816">
        <f t="shared" si="3"/>
        <v>1</v>
      </c>
      <c r="R73" s="871">
        <f t="shared" si="3"/>
        <v>0.31</v>
      </c>
      <c r="S73" s="816">
        <f t="shared" si="4"/>
        <v>1</v>
      </c>
      <c r="T73" s="871">
        <f t="shared" si="5"/>
        <v>0.31</v>
      </c>
      <c r="U73" s="878">
        <v>3</v>
      </c>
      <c r="V73" s="827">
        <v>2</v>
      </c>
      <c r="W73" s="827">
        <v>-1</v>
      </c>
      <c r="X73" s="876">
        <v>0.66666666666666663</v>
      </c>
      <c r="Y73" s="874"/>
    </row>
    <row r="74" spans="1:25" ht="14.45" customHeight="1" x14ac:dyDescent="0.2">
      <c r="A74" s="844" t="s">
        <v>4264</v>
      </c>
      <c r="B74" s="827">
        <v>1</v>
      </c>
      <c r="C74" s="828">
        <v>0.53</v>
      </c>
      <c r="D74" s="829">
        <v>3</v>
      </c>
      <c r="E74" s="825"/>
      <c r="F74" s="811"/>
      <c r="G74" s="812"/>
      <c r="H74" s="817"/>
      <c r="I74" s="818"/>
      <c r="J74" s="819"/>
      <c r="K74" s="814">
        <v>0.53</v>
      </c>
      <c r="L74" s="813">
        <v>2</v>
      </c>
      <c r="M74" s="813">
        <v>18</v>
      </c>
      <c r="N74" s="815">
        <v>6</v>
      </c>
      <c r="O74" s="813" t="s">
        <v>4134</v>
      </c>
      <c r="P74" s="826" t="s">
        <v>4265</v>
      </c>
      <c r="Q74" s="816">
        <f t="shared" si="3"/>
        <v>-1</v>
      </c>
      <c r="R74" s="871">
        <f t="shared" si="3"/>
        <v>-0.53</v>
      </c>
      <c r="S74" s="816">
        <f t="shared" si="4"/>
        <v>0</v>
      </c>
      <c r="T74" s="871">
        <f t="shared" si="5"/>
        <v>0</v>
      </c>
      <c r="U74" s="878" t="s">
        <v>520</v>
      </c>
      <c r="V74" s="827" t="s">
        <v>520</v>
      </c>
      <c r="W74" s="827" t="s">
        <v>520</v>
      </c>
      <c r="X74" s="876" t="s">
        <v>520</v>
      </c>
      <c r="Y74" s="874"/>
    </row>
    <row r="75" spans="1:25" ht="14.45" customHeight="1" x14ac:dyDescent="0.2">
      <c r="A75" s="845" t="s">
        <v>4266</v>
      </c>
      <c r="B75" s="831"/>
      <c r="C75" s="832"/>
      <c r="D75" s="830"/>
      <c r="E75" s="843"/>
      <c r="F75" s="836"/>
      <c r="G75" s="821"/>
      <c r="H75" s="833">
        <v>1</v>
      </c>
      <c r="I75" s="834">
        <v>0.69</v>
      </c>
      <c r="J75" s="822">
        <v>11</v>
      </c>
      <c r="K75" s="837">
        <v>0.69</v>
      </c>
      <c r="L75" s="835">
        <v>3</v>
      </c>
      <c r="M75" s="835">
        <v>24</v>
      </c>
      <c r="N75" s="838">
        <v>8</v>
      </c>
      <c r="O75" s="835" t="s">
        <v>4134</v>
      </c>
      <c r="P75" s="839" t="s">
        <v>4267</v>
      </c>
      <c r="Q75" s="840">
        <f t="shared" si="3"/>
        <v>1</v>
      </c>
      <c r="R75" s="872">
        <f t="shared" si="3"/>
        <v>0.69</v>
      </c>
      <c r="S75" s="840">
        <f t="shared" si="4"/>
        <v>1</v>
      </c>
      <c r="T75" s="872">
        <f t="shared" si="5"/>
        <v>0.69</v>
      </c>
      <c r="U75" s="879">
        <v>8</v>
      </c>
      <c r="V75" s="831">
        <v>11</v>
      </c>
      <c r="W75" s="831">
        <v>3</v>
      </c>
      <c r="X75" s="877">
        <v>1.375</v>
      </c>
      <c r="Y75" s="875">
        <v>3</v>
      </c>
    </row>
    <row r="76" spans="1:25" ht="14.45" customHeight="1" x14ac:dyDescent="0.2">
      <c r="A76" s="844" t="s">
        <v>4268</v>
      </c>
      <c r="B76" s="827"/>
      <c r="C76" s="828"/>
      <c r="D76" s="829"/>
      <c r="E76" s="825"/>
      <c r="F76" s="811"/>
      <c r="G76" s="812"/>
      <c r="H76" s="817">
        <v>1</v>
      </c>
      <c r="I76" s="818">
        <v>0.59</v>
      </c>
      <c r="J76" s="824">
        <v>10</v>
      </c>
      <c r="K76" s="814">
        <v>0.59</v>
      </c>
      <c r="L76" s="813">
        <v>2</v>
      </c>
      <c r="M76" s="813">
        <v>18</v>
      </c>
      <c r="N76" s="815">
        <v>6</v>
      </c>
      <c r="O76" s="813" t="s">
        <v>4134</v>
      </c>
      <c r="P76" s="826" t="s">
        <v>4269</v>
      </c>
      <c r="Q76" s="816">
        <f t="shared" si="3"/>
        <v>1</v>
      </c>
      <c r="R76" s="871">
        <f t="shared" si="3"/>
        <v>0.59</v>
      </c>
      <c r="S76" s="816">
        <f t="shared" si="4"/>
        <v>1</v>
      </c>
      <c r="T76" s="871">
        <f t="shared" si="5"/>
        <v>0.59</v>
      </c>
      <c r="U76" s="878">
        <v>6</v>
      </c>
      <c r="V76" s="827">
        <v>10</v>
      </c>
      <c r="W76" s="827">
        <v>4</v>
      </c>
      <c r="X76" s="876">
        <v>1.6666666666666667</v>
      </c>
      <c r="Y76" s="874">
        <v>4</v>
      </c>
    </row>
    <row r="77" spans="1:25" ht="14.45" customHeight="1" x14ac:dyDescent="0.2">
      <c r="A77" s="844" t="s">
        <v>4270</v>
      </c>
      <c r="B77" s="827"/>
      <c r="C77" s="828"/>
      <c r="D77" s="829"/>
      <c r="E77" s="817">
        <v>1</v>
      </c>
      <c r="F77" s="818">
        <v>0.2</v>
      </c>
      <c r="G77" s="819">
        <v>2</v>
      </c>
      <c r="H77" s="813"/>
      <c r="I77" s="811"/>
      <c r="J77" s="812"/>
      <c r="K77" s="814">
        <v>0.2</v>
      </c>
      <c r="L77" s="813">
        <v>1</v>
      </c>
      <c r="M77" s="813">
        <v>9</v>
      </c>
      <c r="N77" s="815">
        <v>3</v>
      </c>
      <c r="O77" s="813" t="s">
        <v>4134</v>
      </c>
      <c r="P77" s="826" t="s">
        <v>4271</v>
      </c>
      <c r="Q77" s="816">
        <f t="shared" si="3"/>
        <v>0</v>
      </c>
      <c r="R77" s="871">
        <f t="shared" si="3"/>
        <v>0</v>
      </c>
      <c r="S77" s="816">
        <f t="shared" si="4"/>
        <v>-1</v>
      </c>
      <c r="T77" s="871">
        <f t="shared" si="5"/>
        <v>-0.2</v>
      </c>
      <c r="U77" s="878" t="s">
        <v>520</v>
      </c>
      <c r="V77" s="827" t="s">
        <v>520</v>
      </c>
      <c r="W77" s="827" t="s">
        <v>520</v>
      </c>
      <c r="X77" s="876" t="s">
        <v>520</v>
      </c>
      <c r="Y77" s="874"/>
    </row>
    <row r="78" spans="1:25" ht="14.45" customHeight="1" x14ac:dyDescent="0.2">
      <c r="A78" s="844" t="s">
        <v>4272</v>
      </c>
      <c r="B78" s="827"/>
      <c r="C78" s="828"/>
      <c r="D78" s="829"/>
      <c r="E78" s="825">
        <v>1</v>
      </c>
      <c r="F78" s="811">
        <v>3.05</v>
      </c>
      <c r="G78" s="812">
        <v>14</v>
      </c>
      <c r="H78" s="817">
        <v>1</v>
      </c>
      <c r="I78" s="818">
        <v>3</v>
      </c>
      <c r="J78" s="819">
        <v>10</v>
      </c>
      <c r="K78" s="814">
        <v>3</v>
      </c>
      <c r="L78" s="813">
        <v>6</v>
      </c>
      <c r="M78" s="813">
        <v>54</v>
      </c>
      <c r="N78" s="815">
        <v>18</v>
      </c>
      <c r="O78" s="813" t="s">
        <v>4134</v>
      </c>
      <c r="P78" s="826" t="s">
        <v>4273</v>
      </c>
      <c r="Q78" s="816">
        <f t="shared" si="3"/>
        <v>1</v>
      </c>
      <c r="R78" s="871">
        <f t="shared" si="3"/>
        <v>3</v>
      </c>
      <c r="S78" s="816">
        <f t="shared" si="4"/>
        <v>0</v>
      </c>
      <c r="T78" s="871">
        <f t="shared" si="5"/>
        <v>-4.9999999999999822E-2</v>
      </c>
      <c r="U78" s="878">
        <v>18</v>
      </c>
      <c r="V78" s="827">
        <v>10</v>
      </c>
      <c r="W78" s="827">
        <v>-8</v>
      </c>
      <c r="X78" s="876">
        <v>0.55555555555555558</v>
      </c>
      <c r="Y78" s="874"/>
    </row>
    <row r="79" spans="1:25" ht="14.45" customHeight="1" x14ac:dyDescent="0.2">
      <c r="A79" s="845" t="s">
        <v>4274</v>
      </c>
      <c r="B79" s="831">
        <v>1</v>
      </c>
      <c r="C79" s="832">
        <v>9.81</v>
      </c>
      <c r="D79" s="830">
        <v>22</v>
      </c>
      <c r="E79" s="843">
        <v>2</v>
      </c>
      <c r="F79" s="836">
        <v>6.47</v>
      </c>
      <c r="G79" s="821">
        <v>3.5</v>
      </c>
      <c r="H79" s="833">
        <v>2</v>
      </c>
      <c r="I79" s="834">
        <v>16.52</v>
      </c>
      <c r="J79" s="820">
        <v>10</v>
      </c>
      <c r="K79" s="837">
        <v>5.89</v>
      </c>
      <c r="L79" s="835">
        <v>7</v>
      </c>
      <c r="M79" s="835">
        <v>66</v>
      </c>
      <c r="N79" s="838">
        <v>22</v>
      </c>
      <c r="O79" s="835" t="s">
        <v>4134</v>
      </c>
      <c r="P79" s="839" t="s">
        <v>4275</v>
      </c>
      <c r="Q79" s="840">
        <f t="shared" si="3"/>
        <v>1</v>
      </c>
      <c r="R79" s="872">
        <f t="shared" si="3"/>
        <v>6.7099999999999991</v>
      </c>
      <c r="S79" s="840">
        <f t="shared" si="4"/>
        <v>0</v>
      </c>
      <c r="T79" s="872">
        <f t="shared" si="5"/>
        <v>10.050000000000001</v>
      </c>
      <c r="U79" s="879">
        <v>44</v>
      </c>
      <c r="V79" s="831">
        <v>20</v>
      </c>
      <c r="W79" s="831">
        <v>-24</v>
      </c>
      <c r="X79" s="877">
        <v>0.45454545454545453</v>
      </c>
      <c r="Y79" s="875"/>
    </row>
    <row r="80" spans="1:25" ht="14.45" customHeight="1" x14ac:dyDescent="0.2">
      <c r="A80" s="844" t="s">
        <v>4276</v>
      </c>
      <c r="B80" s="827">
        <v>1</v>
      </c>
      <c r="C80" s="828">
        <v>0.64</v>
      </c>
      <c r="D80" s="829">
        <v>2</v>
      </c>
      <c r="E80" s="817"/>
      <c r="F80" s="818"/>
      <c r="G80" s="819"/>
      <c r="H80" s="813"/>
      <c r="I80" s="811"/>
      <c r="J80" s="812"/>
      <c r="K80" s="814">
        <v>0.93</v>
      </c>
      <c r="L80" s="813">
        <v>3</v>
      </c>
      <c r="M80" s="813">
        <v>27</v>
      </c>
      <c r="N80" s="815">
        <v>9</v>
      </c>
      <c r="O80" s="813" t="s">
        <v>4134</v>
      </c>
      <c r="P80" s="826" t="s">
        <v>4277</v>
      </c>
      <c r="Q80" s="816">
        <f t="shared" si="3"/>
        <v>-1</v>
      </c>
      <c r="R80" s="871">
        <f t="shared" si="3"/>
        <v>-0.64</v>
      </c>
      <c r="S80" s="816">
        <f t="shared" si="4"/>
        <v>0</v>
      </c>
      <c r="T80" s="871">
        <f t="shared" si="5"/>
        <v>0</v>
      </c>
      <c r="U80" s="878" t="s">
        <v>520</v>
      </c>
      <c r="V80" s="827" t="s">
        <v>520</v>
      </c>
      <c r="W80" s="827" t="s">
        <v>520</v>
      </c>
      <c r="X80" s="876" t="s">
        <v>520</v>
      </c>
      <c r="Y80" s="874"/>
    </row>
    <row r="81" spans="1:25" ht="14.45" customHeight="1" x14ac:dyDescent="0.2">
      <c r="A81" s="845" t="s">
        <v>4278</v>
      </c>
      <c r="B81" s="831"/>
      <c r="C81" s="832"/>
      <c r="D81" s="830"/>
      <c r="E81" s="833">
        <v>1</v>
      </c>
      <c r="F81" s="834">
        <v>1.52</v>
      </c>
      <c r="G81" s="820">
        <v>4</v>
      </c>
      <c r="H81" s="835"/>
      <c r="I81" s="836"/>
      <c r="J81" s="821"/>
      <c r="K81" s="837">
        <v>1.1100000000000001</v>
      </c>
      <c r="L81" s="835">
        <v>4</v>
      </c>
      <c r="M81" s="835">
        <v>33</v>
      </c>
      <c r="N81" s="838">
        <v>11</v>
      </c>
      <c r="O81" s="835" t="s">
        <v>4134</v>
      </c>
      <c r="P81" s="839" t="s">
        <v>4279</v>
      </c>
      <c r="Q81" s="840">
        <f t="shared" si="3"/>
        <v>0</v>
      </c>
      <c r="R81" s="872">
        <f t="shared" si="3"/>
        <v>0</v>
      </c>
      <c r="S81" s="840">
        <f t="shared" si="4"/>
        <v>-1</v>
      </c>
      <c r="T81" s="872">
        <f t="shared" si="5"/>
        <v>-1.52</v>
      </c>
      <c r="U81" s="879" t="s">
        <v>520</v>
      </c>
      <c r="V81" s="831" t="s">
        <v>520</v>
      </c>
      <c r="W81" s="831" t="s">
        <v>520</v>
      </c>
      <c r="X81" s="877" t="s">
        <v>520</v>
      </c>
      <c r="Y81" s="875"/>
    </row>
    <row r="82" spans="1:25" ht="14.45" customHeight="1" x14ac:dyDescent="0.2">
      <c r="A82" s="845" t="s">
        <v>4280</v>
      </c>
      <c r="B82" s="831">
        <v>1</v>
      </c>
      <c r="C82" s="832">
        <v>1.1000000000000001</v>
      </c>
      <c r="D82" s="830">
        <v>2</v>
      </c>
      <c r="E82" s="833">
        <v>1</v>
      </c>
      <c r="F82" s="834">
        <v>1.1000000000000001</v>
      </c>
      <c r="G82" s="820">
        <v>2</v>
      </c>
      <c r="H82" s="835"/>
      <c r="I82" s="836"/>
      <c r="J82" s="821"/>
      <c r="K82" s="837">
        <v>2.02</v>
      </c>
      <c r="L82" s="835">
        <v>4</v>
      </c>
      <c r="M82" s="835">
        <v>39</v>
      </c>
      <c r="N82" s="838">
        <v>13</v>
      </c>
      <c r="O82" s="835" t="s">
        <v>4134</v>
      </c>
      <c r="P82" s="839" t="s">
        <v>4281</v>
      </c>
      <c r="Q82" s="840">
        <f t="shared" si="3"/>
        <v>-1</v>
      </c>
      <c r="R82" s="872">
        <f t="shared" si="3"/>
        <v>-1.1000000000000001</v>
      </c>
      <c r="S82" s="840">
        <f t="shared" si="4"/>
        <v>-1</v>
      </c>
      <c r="T82" s="872">
        <f t="shared" si="5"/>
        <v>-1.1000000000000001</v>
      </c>
      <c r="U82" s="879" t="s">
        <v>520</v>
      </c>
      <c r="V82" s="831" t="s">
        <v>520</v>
      </c>
      <c r="W82" s="831" t="s">
        <v>520</v>
      </c>
      <c r="X82" s="877" t="s">
        <v>520</v>
      </c>
      <c r="Y82" s="875"/>
    </row>
    <row r="83" spans="1:25" ht="14.45" customHeight="1" x14ac:dyDescent="0.2">
      <c r="A83" s="844" t="s">
        <v>4282</v>
      </c>
      <c r="B83" s="827"/>
      <c r="C83" s="828"/>
      <c r="D83" s="829"/>
      <c r="E83" s="817">
        <v>1</v>
      </c>
      <c r="F83" s="818">
        <v>3.32</v>
      </c>
      <c r="G83" s="819">
        <v>6</v>
      </c>
      <c r="H83" s="813"/>
      <c r="I83" s="811"/>
      <c r="J83" s="812"/>
      <c r="K83" s="814">
        <v>2.36</v>
      </c>
      <c r="L83" s="813">
        <v>4</v>
      </c>
      <c r="M83" s="813">
        <v>39</v>
      </c>
      <c r="N83" s="815">
        <v>13</v>
      </c>
      <c r="O83" s="813" t="s">
        <v>4134</v>
      </c>
      <c r="P83" s="826" t="s">
        <v>4283</v>
      </c>
      <c r="Q83" s="816">
        <f t="shared" si="3"/>
        <v>0</v>
      </c>
      <c r="R83" s="871">
        <f t="shared" si="3"/>
        <v>0</v>
      </c>
      <c r="S83" s="816">
        <f t="shared" si="4"/>
        <v>-1</v>
      </c>
      <c r="T83" s="871">
        <f t="shared" si="5"/>
        <v>-3.32</v>
      </c>
      <c r="U83" s="878" t="s">
        <v>520</v>
      </c>
      <c r="V83" s="827" t="s">
        <v>520</v>
      </c>
      <c r="W83" s="827" t="s">
        <v>520</v>
      </c>
      <c r="X83" s="876" t="s">
        <v>520</v>
      </c>
      <c r="Y83" s="874"/>
    </row>
    <row r="84" spans="1:25" ht="14.45" customHeight="1" x14ac:dyDescent="0.2">
      <c r="A84" s="845" t="s">
        <v>4284</v>
      </c>
      <c r="B84" s="831"/>
      <c r="C84" s="832"/>
      <c r="D84" s="830"/>
      <c r="E84" s="833">
        <v>1</v>
      </c>
      <c r="F84" s="834">
        <v>4.8499999999999996</v>
      </c>
      <c r="G84" s="820">
        <v>25</v>
      </c>
      <c r="H84" s="835"/>
      <c r="I84" s="836"/>
      <c r="J84" s="821"/>
      <c r="K84" s="837">
        <v>4.8499999999999996</v>
      </c>
      <c r="L84" s="835">
        <v>5</v>
      </c>
      <c r="M84" s="835">
        <v>48</v>
      </c>
      <c r="N84" s="838">
        <v>16</v>
      </c>
      <c r="O84" s="835" t="s">
        <v>4134</v>
      </c>
      <c r="P84" s="839" t="s">
        <v>4285</v>
      </c>
      <c r="Q84" s="840">
        <f t="shared" si="3"/>
        <v>0</v>
      </c>
      <c r="R84" s="872">
        <f t="shared" si="3"/>
        <v>0</v>
      </c>
      <c r="S84" s="840">
        <f t="shared" si="4"/>
        <v>-1</v>
      </c>
      <c r="T84" s="872">
        <f t="shared" si="5"/>
        <v>-4.8499999999999996</v>
      </c>
      <c r="U84" s="879" t="s">
        <v>520</v>
      </c>
      <c r="V84" s="831" t="s">
        <v>520</v>
      </c>
      <c r="W84" s="831" t="s">
        <v>520</v>
      </c>
      <c r="X84" s="877" t="s">
        <v>520</v>
      </c>
      <c r="Y84" s="875"/>
    </row>
    <row r="85" spans="1:25" ht="14.45" customHeight="1" x14ac:dyDescent="0.2">
      <c r="A85" s="844" t="s">
        <v>4286</v>
      </c>
      <c r="B85" s="827"/>
      <c r="C85" s="828"/>
      <c r="D85" s="829"/>
      <c r="E85" s="817">
        <v>1</v>
      </c>
      <c r="F85" s="818">
        <v>0.7</v>
      </c>
      <c r="G85" s="819">
        <v>2</v>
      </c>
      <c r="H85" s="813"/>
      <c r="I85" s="811"/>
      <c r="J85" s="812"/>
      <c r="K85" s="814">
        <v>0.7</v>
      </c>
      <c r="L85" s="813">
        <v>2</v>
      </c>
      <c r="M85" s="813">
        <v>15</v>
      </c>
      <c r="N85" s="815">
        <v>5</v>
      </c>
      <c r="O85" s="813" t="s">
        <v>4134</v>
      </c>
      <c r="P85" s="826" t="s">
        <v>4287</v>
      </c>
      <c r="Q85" s="816">
        <f t="shared" si="3"/>
        <v>0</v>
      </c>
      <c r="R85" s="871">
        <f t="shared" si="3"/>
        <v>0</v>
      </c>
      <c r="S85" s="816">
        <f t="shared" si="4"/>
        <v>-1</v>
      </c>
      <c r="T85" s="871">
        <f t="shared" si="5"/>
        <v>-0.7</v>
      </c>
      <c r="U85" s="878" t="s">
        <v>520</v>
      </c>
      <c r="V85" s="827" t="s">
        <v>520</v>
      </c>
      <c r="W85" s="827" t="s">
        <v>520</v>
      </c>
      <c r="X85" s="876" t="s">
        <v>520</v>
      </c>
      <c r="Y85" s="874"/>
    </row>
    <row r="86" spans="1:25" ht="14.45" customHeight="1" x14ac:dyDescent="0.2">
      <c r="A86" s="845" t="s">
        <v>4288</v>
      </c>
      <c r="B86" s="831"/>
      <c r="C86" s="832"/>
      <c r="D86" s="830"/>
      <c r="E86" s="833">
        <v>1</v>
      </c>
      <c r="F86" s="834">
        <v>3.18</v>
      </c>
      <c r="G86" s="820">
        <v>10</v>
      </c>
      <c r="H86" s="835"/>
      <c r="I86" s="836"/>
      <c r="J86" s="821"/>
      <c r="K86" s="837">
        <v>3.18</v>
      </c>
      <c r="L86" s="835">
        <v>4</v>
      </c>
      <c r="M86" s="835">
        <v>33</v>
      </c>
      <c r="N86" s="838">
        <v>11</v>
      </c>
      <c r="O86" s="835" t="s">
        <v>4134</v>
      </c>
      <c r="P86" s="839" t="s">
        <v>4289</v>
      </c>
      <c r="Q86" s="840">
        <f t="shared" si="3"/>
        <v>0</v>
      </c>
      <c r="R86" s="872">
        <f t="shared" si="3"/>
        <v>0</v>
      </c>
      <c r="S86" s="840">
        <f t="shared" si="4"/>
        <v>-1</v>
      </c>
      <c r="T86" s="872">
        <f t="shared" si="5"/>
        <v>-3.18</v>
      </c>
      <c r="U86" s="879" t="s">
        <v>520</v>
      </c>
      <c r="V86" s="831" t="s">
        <v>520</v>
      </c>
      <c r="W86" s="831" t="s">
        <v>520</v>
      </c>
      <c r="X86" s="877" t="s">
        <v>520</v>
      </c>
      <c r="Y86" s="875"/>
    </row>
    <row r="87" spans="1:25" ht="14.45" customHeight="1" x14ac:dyDescent="0.2">
      <c r="A87" s="844" t="s">
        <v>4290</v>
      </c>
      <c r="B87" s="808">
        <v>1</v>
      </c>
      <c r="C87" s="809">
        <v>6.6</v>
      </c>
      <c r="D87" s="810">
        <v>20</v>
      </c>
      <c r="E87" s="825"/>
      <c r="F87" s="811"/>
      <c r="G87" s="812"/>
      <c r="H87" s="813"/>
      <c r="I87" s="811"/>
      <c r="J87" s="812"/>
      <c r="K87" s="814">
        <v>6.6</v>
      </c>
      <c r="L87" s="813">
        <v>6</v>
      </c>
      <c r="M87" s="813">
        <v>51</v>
      </c>
      <c r="N87" s="815">
        <v>17</v>
      </c>
      <c r="O87" s="813" t="s">
        <v>4134</v>
      </c>
      <c r="P87" s="826" t="s">
        <v>4291</v>
      </c>
      <c r="Q87" s="816">
        <f t="shared" si="3"/>
        <v>-1</v>
      </c>
      <c r="R87" s="871">
        <f t="shared" si="3"/>
        <v>-6.6</v>
      </c>
      <c r="S87" s="816">
        <f t="shared" si="4"/>
        <v>0</v>
      </c>
      <c r="T87" s="871">
        <f t="shared" si="5"/>
        <v>0</v>
      </c>
      <c r="U87" s="878" t="s">
        <v>520</v>
      </c>
      <c r="V87" s="827" t="s">
        <v>520</v>
      </c>
      <c r="W87" s="827" t="s">
        <v>520</v>
      </c>
      <c r="X87" s="876" t="s">
        <v>520</v>
      </c>
      <c r="Y87" s="874"/>
    </row>
    <row r="88" spans="1:25" ht="14.45" customHeight="1" x14ac:dyDescent="0.2">
      <c r="A88" s="844" t="s">
        <v>4292</v>
      </c>
      <c r="B88" s="808">
        <v>1</v>
      </c>
      <c r="C88" s="809">
        <v>37.340000000000003</v>
      </c>
      <c r="D88" s="810">
        <v>38</v>
      </c>
      <c r="E88" s="825"/>
      <c r="F88" s="811"/>
      <c r="G88" s="812"/>
      <c r="H88" s="813"/>
      <c r="I88" s="811"/>
      <c r="J88" s="812"/>
      <c r="K88" s="814">
        <v>37.340000000000003</v>
      </c>
      <c r="L88" s="813">
        <v>22</v>
      </c>
      <c r="M88" s="813">
        <v>132</v>
      </c>
      <c r="N88" s="815">
        <v>44</v>
      </c>
      <c r="O88" s="813" t="s">
        <v>4134</v>
      </c>
      <c r="P88" s="826" t="s">
        <v>4293</v>
      </c>
      <c r="Q88" s="816">
        <f t="shared" si="3"/>
        <v>-1</v>
      </c>
      <c r="R88" s="871">
        <f t="shared" si="3"/>
        <v>-37.340000000000003</v>
      </c>
      <c r="S88" s="816">
        <f t="shared" si="4"/>
        <v>0</v>
      </c>
      <c r="T88" s="871">
        <f t="shared" si="5"/>
        <v>0</v>
      </c>
      <c r="U88" s="878" t="s">
        <v>520</v>
      </c>
      <c r="V88" s="827" t="s">
        <v>520</v>
      </c>
      <c r="W88" s="827" t="s">
        <v>520</v>
      </c>
      <c r="X88" s="876" t="s">
        <v>520</v>
      </c>
      <c r="Y88" s="874"/>
    </row>
    <row r="89" spans="1:25" ht="14.45" customHeight="1" x14ac:dyDescent="0.2">
      <c r="A89" s="844" t="s">
        <v>4294</v>
      </c>
      <c r="B89" s="827"/>
      <c r="C89" s="828"/>
      <c r="D89" s="829"/>
      <c r="E89" s="817">
        <v>1</v>
      </c>
      <c r="F89" s="818">
        <v>23.68</v>
      </c>
      <c r="G89" s="819">
        <v>25</v>
      </c>
      <c r="H89" s="813"/>
      <c r="I89" s="811"/>
      <c r="J89" s="812"/>
      <c r="K89" s="814">
        <v>23.68</v>
      </c>
      <c r="L89" s="813">
        <v>11</v>
      </c>
      <c r="M89" s="813">
        <v>87</v>
      </c>
      <c r="N89" s="815">
        <v>29</v>
      </c>
      <c r="O89" s="813" t="s">
        <v>4134</v>
      </c>
      <c r="P89" s="826" t="s">
        <v>4295</v>
      </c>
      <c r="Q89" s="816">
        <f t="shared" si="3"/>
        <v>0</v>
      </c>
      <c r="R89" s="871">
        <f t="shared" si="3"/>
        <v>0</v>
      </c>
      <c r="S89" s="816">
        <f t="shared" si="4"/>
        <v>-1</v>
      </c>
      <c r="T89" s="871">
        <f t="shared" si="5"/>
        <v>-23.68</v>
      </c>
      <c r="U89" s="878" t="s">
        <v>520</v>
      </c>
      <c r="V89" s="827" t="s">
        <v>520</v>
      </c>
      <c r="W89" s="827" t="s">
        <v>520</v>
      </c>
      <c r="X89" s="876" t="s">
        <v>520</v>
      </c>
      <c r="Y89" s="874"/>
    </row>
    <row r="90" spans="1:25" ht="14.45" customHeight="1" x14ac:dyDescent="0.2">
      <c r="A90" s="844" t="s">
        <v>4296</v>
      </c>
      <c r="B90" s="827">
        <v>1</v>
      </c>
      <c r="C90" s="828">
        <v>16.940000000000001</v>
      </c>
      <c r="D90" s="829">
        <v>13</v>
      </c>
      <c r="E90" s="825"/>
      <c r="F90" s="811"/>
      <c r="G90" s="812"/>
      <c r="H90" s="817">
        <v>1</v>
      </c>
      <c r="I90" s="818">
        <v>16.940000000000001</v>
      </c>
      <c r="J90" s="819">
        <v>7</v>
      </c>
      <c r="K90" s="814">
        <v>16.940000000000001</v>
      </c>
      <c r="L90" s="813">
        <v>5</v>
      </c>
      <c r="M90" s="813">
        <v>72</v>
      </c>
      <c r="N90" s="815">
        <v>24</v>
      </c>
      <c r="O90" s="813" t="s">
        <v>4134</v>
      </c>
      <c r="P90" s="826" t="s">
        <v>4297</v>
      </c>
      <c r="Q90" s="816">
        <f t="shared" si="3"/>
        <v>0</v>
      </c>
      <c r="R90" s="871">
        <f t="shared" si="3"/>
        <v>0</v>
      </c>
      <c r="S90" s="816">
        <f t="shared" si="4"/>
        <v>1</v>
      </c>
      <c r="T90" s="871">
        <f t="shared" si="5"/>
        <v>16.940000000000001</v>
      </c>
      <c r="U90" s="878">
        <v>24</v>
      </c>
      <c r="V90" s="827">
        <v>7</v>
      </c>
      <c r="W90" s="827">
        <v>-17</v>
      </c>
      <c r="X90" s="876">
        <v>0.29166666666666669</v>
      </c>
      <c r="Y90" s="874"/>
    </row>
    <row r="91" spans="1:25" ht="14.45" customHeight="1" x14ac:dyDescent="0.2">
      <c r="A91" s="844" t="s">
        <v>4298</v>
      </c>
      <c r="B91" s="808">
        <v>1</v>
      </c>
      <c r="C91" s="809">
        <v>9.51</v>
      </c>
      <c r="D91" s="810">
        <v>11</v>
      </c>
      <c r="E91" s="825"/>
      <c r="F91" s="811"/>
      <c r="G91" s="812"/>
      <c r="H91" s="813"/>
      <c r="I91" s="811"/>
      <c r="J91" s="812"/>
      <c r="K91" s="814">
        <v>9.25</v>
      </c>
      <c r="L91" s="813">
        <v>5</v>
      </c>
      <c r="M91" s="813">
        <v>48</v>
      </c>
      <c r="N91" s="815">
        <v>16</v>
      </c>
      <c r="O91" s="813" t="s">
        <v>4134</v>
      </c>
      <c r="P91" s="826" t="s">
        <v>4297</v>
      </c>
      <c r="Q91" s="816">
        <f t="shared" si="3"/>
        <v>-1</v>
      </c>
      <c r="R91" s="871">
        <f t="shared" si="3"/>
        <v>-9.51</v>
      </c>
      <c r="S91" s="816">
        <f t="shared" si="4"/>
        <v>0</v>
      </c>
      <c r="T91" s="871">
        <f t="shared" si="5"/>
        <v>0</v>
      </c>
      <c r="U91" s="878" t="s">
        <v>520</v>
      </c>
      <c r="V91" s="827" t="s">
        <v>520</v>
      </c>
      <c r="W91" s="827" t="s">
        <v>520</v>
      </c>
      <c r="X91" s="876" t="s">
        <v>520</v>
      </c>
      <c r="Y91" s="874"/>
    </row>
    <row r="92" spans="1:25" ht="14.45" customHeight="1" x14ac:dyDescent="0.2">
      <c r="A92" s="844" t="s">
        <v>4299</v>
      </c>
      <c r="B92" s="808">
        <v>1</v>
      </c>
      <c r="C92" s="809">
        <v>3.18</v>
      </c>
      <c r="D92" s="810">
        <v>3</v>
      </c>
      <c r="E92" s="825"/>
      <c r="F92" s="811"/>
      <c r="G92" s="812"/>
      <c r="H92" s="813"/>
      <c r="I92" s="811"/>
      <c r="J92" s="812"/>
      <c r="K92" s="814">
        <v>3.18</v>
      </c>
      <c r="L92" s="813">
        <v>1</v>
      </c>
      <c r="M92" s="813">
        <v>5</v>
      </c>
      <c r="N92" s="815">
        <v>2</v>
      </c>
      <c r="O92" s="813" t="s">
        <v>4134</v>
      </c>
      <c r="P92" s="826" t="s">
        <v>4300</v>
      </c>
      <c r="Q92" s="816">
        <f t="shared" si="3"/>
        <v>-1</v>
      </c>
      <c r="R92" s="871">
        <f t="shared" si="3"/>
        <v>-3.18</v>
      </c>
      <c r="S92" s="816">
        <f t="shared" si="4"/>
        <v>0</v>
      </c>
      <c r="T92" s="871">
        <f t="shared" si="5"/>
        <v>0</v>
      </c>
      <c r="U92" s="878" t="s">
        <v>520</v>
      </c>
      <c r="V92" s="827" t="s">
        <v>520</v>
      </c>
      <c r="W92" s="827" t="s">
        <v>520</v>
      </c>
      <c r="X92" s="876" t="s">
        <v>520</v>
      </c>
      <c r="Y92" s="874"/>
    </row>
    <row r="93" spans="1:25" ht="14.45" customHeight="1" x14ac:dyDescent="0.2">
      <c r="A93" s="844" t="s">
        <v>4301</v>
      </c>
      <c r="B93" s="808">
        <v>3</v>
      </c>
      <c r="C93" s="809">
        <v>10.65</v>
      </c>
      <c r="D93" s="810">
        <v>12.3</v>
      </c>
      <c r="E93" s="825">
        <v>2</v>
      </c>
      <c r="F93" s="811">
        <v>4.62</v>
      </c>
      <c r="G93" s="812">
        <v>13</v>
      </c>
      <c r="H93" s="813"/>
      <c r="I93" s="811"/>
      <c r="J93" s="812"/>
      <c r="K93" s="814">
        <v>2.2599999999999998</v>
      </c>
      <c r="L93" s="813">
        <v>4</v>
      </c>
      <c r="M93" s="813">
        <v>39</v>
      </c>
      <c r="N93" s="815">
        <v>13</v>
      </c>
      <c r="O93" s="813" t="s">
        <v>4134</v>
      </c>
      <c r="P93" s="826" t="s">
        <v>4302</v>
      </c>
      <c r="Q93" s="816">
        <f t="shared" si="3"/>
        <v>-3</v>
      </c>
      <c r="R93" s="871">
        <f t="shared" si="3"/>
        <v>-10.65</v>
      </c>
      <c r="S93" s="816">
        <f t="shared" si="4"/>
        <v>-2</v>
      </c>
      <c r="T93" s="871">
        <f t="shared" si="5"/>
        <v>-4.62</v>
      </c>
      <c r="U93" s="878" t="s">
        <v>520</v>
      </c>
      <c r="V93" s="827" t="s">
        <v>520</v>
      </c>
      <c r="W93" s="827" t="s">
        <v>520</v>
      </c>
      <c r="X93" s="876" t="s">
        <v>520</v>
      </c>
      <c r="Y93" s="874"/>
    </row>
    <row r="94" spans="1:25" ht="14.45" customHeight="1" thickBot="1" x14ac:dyDescent="0.25">
      <c r="A94" s="858" t="s">
        <v>4303</v>
      </c>
      <c r="B94" s="859">
        <v>2</v>
      </c>
      <c r="C94" s="860">
        <v>20.64</v>
      </c>
      <c r="D94" s="861">
        <v>17</v>
      </c>
      <c r="E94" s="862">
        <v>1</v>
      </c>
      <c r="F94" s="863">
        <v>4.45</v>
      </c>
      <c r="G94" s="864">
        <v>16</v>
      </c>
      <c r="H94" s="865">
        <v>1</v>
      </c>
      <c r="I94" s="863">
        <v>2.5099999999999998</v>
      </c>
      <c r="J94" s="864">
        <v>3</v>
      </c>
      <c r="K94" s="866">
        <v>4.42</v>
      </c>
      <c r="L94" s="865">
        <v>6</v>
      </c>
      <c r="M94" s="865">
        <v>57</v>
      </c>
      <c r="N94" s="867">
        <v>19</v>
      </c>
      <c r="O94" s="865" t="s">
        <v>4134</v>
      </c>
      <c r="P94" s="868" t="s">
        <v>4304</v>
      </c>
      <c r="Q94" s="869">
        <f t="shared" si="3"/>
        <v>-1</v>
      </c>
      <c r="R94" s="873">
        <f t="shared" si="3"/>
        <v>-18.130000000000003</v>
      </c>
      <c r="S94" s="869">
        <f t="shared" si="4"/>
        <v>0</v>
      </c>
      <c r="T94" s="873">
        <f t="shared" si="5"/>
        <v>-1.9400000000000004</v>
      </c>
      <c r="U94" s="884">
        <v>19</v>
      </c>
      <c r="V94" s="885">
        <v>3</v>
      </c>
      <c r="W94" s="885">
        <v>-16</v>
      </c>
      <c r="X94" s="886">
        <v>0.15789473684210525</v>
      </c>
      <c r="Y94" s="887"/>
    </row>
  </sheetData>
  <autoFilter ref="A4:Y4" xr:uid="{00000000-0009-0000-0000-00002C000000}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95:Q1048576">
    <cfRule type="cellIs" dxfId="14" priority="11" stopIfTrue="1" operator="lessThan">
      <formula>0</formula>
    </cfRule>
  </conditionalFormatting>
  <conditionalFormatting sqref="W95:W1048576">
    <cfRule type="cellIs" dxfId="13" priority="10" stopIfTrue="1" operator="greaterThan">
      <formula>0</formula>
    </cfRule>
  </conditionalFormatting>
  <conditionalFormatting sqref="X95:X1048576">
    <cfRule type="cellIs" dxfId="12" priority="9" stopIfTrue="1" operator="greaterThan">
      <formula>1</formula>
    </cfRule>
  </conditionalFormatting>
  <conditionalFormatting sqref="X95:X1048576">
    <cfRule type="cellIs" dxfId="11" priority="6" stopIfTrue="1" operator="greaterThan">
      <formula>1</formula>
    </cfRule>
  </conditionalFormatting>
  <conditionalFormatting sqref="W95:W1048576">
    <cfRule type="cellIs" dxfId="10" priority="7" stopIfTrue="1" operator="greaterThan">
      <formula>0</formula>
    </cfRule>
  </conditionalFormatting>
  <conditionalFormatting sqref="Q95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94">
    <cfRule type="cellIs" dxfId="7" priority="4" stopIfTrue="1" operator="lessThan">
      <formula>0</formula>
    </cfRule>
  </conditionalFormatting>
  <conditionalFormatting sqref="X5:X94">
    <cfRule type="cellIs" dxfId="6" priority="2" stopIfTrue="1" operator="greaterThan">
      <formula>1</formula>
    </cfRule>
  </conditionalFormatting>
  <conditionalFormatting sqref="W5:W94">
    <cfRule type="cellIs" dxfId="5" priority="3" stopIfTrue="1" operator="greaterThan">
      <formula>0</formula>
    </cfRule>
  </conditionalFormatting>
  <conditionalFormatting sqref="S5:S94">
    <cfRule type="cellIs" dxfId="4" priority="1" stopIfTrue="1" operator="lessThan">
      <formula>0</formula>
    </cfRule>
  </conditionalFormatting>
  <hyperlinks>
    <hyperlink ref="A2" location="Obsah!A1" display="Zpět na Obsah  KL 01  1.-4.měsíc" xr:uid="{D96F9BD1-F286-4163-9D25-6A2FF8AA6156}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List4">
    <tabColor theme="0" tint="-0.249977111117893"/>
    <outlinePr summaryRight="0"/>
    <pageSetUpPr fitToPage="1"/>
  </sheetPr>
  <dimension ref="A1:M17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ColWidth="8.85546875" defaultRowHeight="14.45" customHeight="1" outlineLevelCol="1" x14ac:dyDescent="0.2"/>
  <cols>
    <col min="1" max="1" width="43.28515625" style="233" customWidth="1" collapsed="1"/>
    <col min="2" max="2" width="7.7109375" style="201" hidden="1" customWidth="1" outlineLevel="1"/>
    <col min="3" max="3" width="7.28515625" style="233" hidden="1" customWidth="1"/>
    <col min="4" max="4" width="7.7109375" style="201" customWidth="1"/>
    <col min="5" max="5" width="7.28515625" style="233" hidden="1" customWidth="1"/>
    <col min="6" max="6" width="7.7109375" style="201" customWidth="1"/>
    <col min="7" max="7" width="7.7109375" style="316" customWidth="1" collapsed="1"/>
    <col min="8" max="8" width="7.7109375" style="201" hidden="1" customWidth="1" outlineLevel="1"/>
    <col min="9" max="9" width="7.28515625" style="233" hidden="1" customWidth="1"/>
    <col min="10" max="10" width="7.7109375" style="201" customWidth="1"/>
    <col min="11" max="11" width="7.28515625" style="233" hidden="1" customWidth="1"/>
    <col min="12" max="12" width="7.7109375" style="201" customWidth="1"/>
    <col min="13" max="13" width="7.7109375" style="316" customWidth="1"/>
    <col min="14" max="16384" width="8.85546875" style="233"/>
  </cols>
  <sheetData>
    <row r="1" spans="1:13" ht="18.600000000000001" customHeight="1" thickBot="1" x14ac:dyDescent="0.35">
      <c r="A1" s="504" t="s">
        <v>142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</row>
    <row r="2" spans="1:13" ht="14.45" customHeight="1" thickBot="1" x14ac:dyDescent="0.25">
      <c r="A2" s="666" t="s">
        <v>305</v>
      </c>
      <c r="B2" s="328"/>
      <c r="C2" s="206"/>
      <c r="D2" s="328"/>
      <c r="E2" s="206"/>
      <c r="F2" s="328"/>
      <c r="G2" s="329"/>
      <c r="H2" s="328"/>
      <c r="I2" s="206"/>
      <c r="J2" s="328"/>
      <c r="K2" s="206"/>
      <c r="L2" s="328"/>
      <c r="M2" s="329"/>
    </row>
    <row r="3" spans="1:13" ht="14.45" customHeight="1" thickBot="1" x14ac:dyDescent="0.25">
      <c r="A3" s="322" t="s">
        <v>143</v>
      </c>
      <c r="B3" s="323">
        <f>SUBTOTAL(9,B6:B1048576)</f>
        <v>9507277</v>
      </c>
      <c r="C3" s="324">
        <f t="shared" ref="C3:L3" si="0">SUBTOTAL(9,C6:C1048576)</f>
        <v>9.8170697818848573</v>
      </c>
      <c r="D3" s="324">
        <f t="shared" si="0"/>
        <v>9440824</v>
      </c>
      <c r="E3" s="324">
        <f t="shared" si="0"/>
        <v>11</v>
      </c>
      <c r="F3" s="324">
        <f t="shared" si="0"/>
        <v>9823648</v>
      </c>
      <c r="G3" s="327">
        <f>IF(D3&lt;&gt;0,F3/D3,"")</f>
        <v>1.0405498503096764</v>
      </c>
      <c r="H3" s="323">
        <f t="shared" si="0"/>
        <v>2861219.0799999996</v>
      </c>
      <c r="I3" s="324">
        <f t="shared" si="0"/>
        <v>1.9833033651175915</v>
      </c>
      <c r="J3" s="324">
        <f t="shared" si="0"/>
        <v>1439981.1799999997</v>
      </c>
      <c r="K3" s="324">
        <f t="shared" si="0"/>
        <v>1</v>
      </c>
      <c r="L3" s="324">
        <f t="shared" si="0"/>
        <v>2177445.3200000003</v>
      </c>
      <c r="M3" s="325">
        <f>IF(J3&lt;&gt;0,L3/J3,"")</f>
        <v>1.5121345683142893</v>
      </c>
    </row>
    <row r="4" spans="1:13" ht="14.45" customHeight="1" x14ac:dyDescent="0.2">
      <c r="A4" s="657" t="s">
        <v>104</v>
      </c>
      <c r="B4" s="589" t="s">
        <v>109</v>
      </c>
      <c r="C4" s="590"/>
      <c r="D4" s="590"/>
      <c r="E4" s="590"/>
      <c r="F4" s="590"/>
      <c r="G4" s="592"/>
      <c r="H4" s="589" t="s">
        <v>110</v>
      </c>
      <c r="I4" s="590"/>
      <c r="J4" s="590"/>
      <c r="K4" s="590"/>
      <c r="L4" s="590"/>
      <c r="M4" s="592"/>
    </row>
    <row r="5" spans="1:13" s="314" customFormat="1" ht="14.45" customHeight="1" thickBot="1" x14ac:dyDescent="0.25">
      <c r="A5" s="888"/>
      <c r="B5" s="889">
        <v>2015</v>
      </c>
      <c r="C5" s="890"/>
      <c r="D5" s="890">
        <v>2018</v>
      </c>
      <c r="E5" s="890"/>
      <c r="F5" s="890">
        <v>2019</v>
      </c>
      <c r="G5" s="802" t="s">
        <v>2</v>
      </c>
      <c r="H5" s="889">
        <v>2015</v>
      </c>
      <c r="I5" s="890"/>
      <c r="J5" s="890">
        <v>2018</v>
      </c>
      <c r="K5" s="890"/>
      <c r="L5" s="890">
        <v>2019</v>
      </c>
      <c r="M5" s="802" t="s">
        <v>2</v>
      </c>
    </row>
    <row r="6" spans="1:13" ht="14.45" customHeight="1" x14ac:dyDescent="0.2">
      <c r="A6" s="749" t="s">
        <v>4306</v>
      </c>
      <c r="B6" s="891">
        <v>4689</v>
      </c>
      <c r="C6" s="709">
        <v>0.71675328645674108</v>
      </c>
      <c r="D6" s="891">
        <v>6542</v>
      </c>
      <c r="E6" s="709">
        <v>1</v>
      </c>
      <c r="F6" s="891">
        <v>1979</v>
      </c>
      <c r="G6" s="734">
        <v>0.30250687863038828</v>
      </c>
      <c r="H6" s="891"/>
      <c r="I6" s="709"/>
      <c r="J6" s="891"/>
      <c r="K6" s="709"/>
      <c r="L6" s="891">
        <v>163.95</v>
      </c>
      <c r="M6" s="761"/>
    </row>
    <row r="7" spans="1:13" ht="14.45" customHeight="1" x14ac:dyDescent="0.2">
      <c r="A7" s="750" t="s">
        <v>4307</v>
      </c>
      <c r="B7" s="892"/>
      <c r="C7" s="716"/>
      <c r="D7" s="892">
        <v>148</v>
      </c>
      <c r="E7" s="716">
        <v>1</v>
      </c>
      <c r="F7" s="892"/>
      <c r="G7" s="745"/>
      <c r="H7" s="892"/>
      <c r="I7" s="716"/>
      <c r="J7" s="892"/>
      <c r="K7" s="716"/>
      <c r="L7" s="892"/>
      <c r="M7" s="893"/>
    </row>
    <row r="8" spans="1:13" ht="14.45" customHeight="1" x14ac:dyDescent="0.2">
      <c r="A8" s="750" t="s">
        <v>4308</v>
      </c>
      <c r="B8" s="892">
        <v>12645</v>
      </c>
      <c r="C8" s="716"/>
      <c r="D8" s="892"/>
      <c r="E8" s="716"/>
      <c r="F8" s="892">
        <v>19879</v>
      </c>
      <c r="G8" s="745"/>
      <c r="H8" s="892">
        <v>5299.5599999999995</v>
      </c>
      <c r="I8" s="716"/>
      <c r="J8" s="892"/>
      <c r="K8" s="716"/>
      <c r="L8" s="892">
        <v>7657.1299999999992</v>
      </c>
      <c r="M8" s="893"/>
    </row>
    <row r="9" spans="1:13" ht="14.45" customHeight="1" x14ac:dyDescent="0.2">
      <c r="A9" s="750" t="s">
        <v>4309</v>
      </c>
      <c r="B9" s="892">
        <v>597115</v>
      </c>
      <c r="C9" s="716">
        <v>0.7020248988608695</v>
      </c>
      <c r="D9" s="892">
        <v>850561</v>
      </c>
      <c r="E9" s="716">
        <v>1</v>
      </c>
      <c r="F9" s="892">
        <v>600689</v>
      </c>
      <c r="G9" s="745">
        <v>0.70622683146770193</v>
      </c>
      <c r="H9" s="892"/>
      <c r="I9" s="716"/>
      <c r="J9" s="892"/>
      <c r="K9" s="716"/>
      <c r="L9" s="892"/>
      <c r="M9" s="893"/>
    </row>
    <row r="10" spans="1:13" ht="14.45" customHeight="1" x14ac:dyDescent="0.2">
      <c r="A10" s="750" t="s">
        <v>4310</v>
      </c>
      <c r="B10" s="892">
        <v>2864570</v>
      </c>
      <c r="C10" s="716">
        <v>0.92947547974136913</v>
      </c>
      <c r="D10" s="892">
        <v>3081921</v>
      </c>
      <c r="E10" s="716">
        <v>1</v>
      </c>
      <c r="F10" s="892">
        <v>3224395</v>
      </c>
      <c r="G10" s="745">
        <v>1.0462289591459353</v>
      </c>
      <c r="H10" s="892"/>
      <c r="I10" s="716"/>
      <c r="J10" s="892"/>
      <c r="K10" s="716"/>
      <c r="L10" s="892"/>
      <c r="M10" s="893"/>
    </row>
    <row r="11" spans="1:13" ht="14.45" customHeight="1" x14ac:dyDescent="0.2">
      <c r="A11" s="750" t="s">
        <v>4311</v>
      </c>
      <c r="B11" s="892">
        <v>2543183</v>
      </c>
      <c r="C11" s="716">
        <v>1.1869700324468027</v>
      </c>
      <c r="D11" s="892">
        <v>2142584</v>
      </c>
      <c r="E11" s="716">
        <v>1</v>
      </c>
      <c r="F11" s="892">
        <v>2685281</v>
      </c>
      <c r="G11" s="745">
        <v>1.2532908861449539</v>
      </c>
      <c r="H11" s="892">
        <v>2855919.5199999996</v>
      </c>
      <c r="I11" s="716">
        <v>1.9833033651175915</v>
      </c>
      <c r="J11" s="892">
        <v>1439981.1799999997</v>
      </c>
      <c r="K11" s="716">
        <v>1</v>
      </c>
      <c r="L11" s="892">
        <v>2169624.2400000002</v>
      </c>
      <c r="M11" s="893">
        <v>1.5067031917736595</v>
      </c>
    </row>
    <row r="12" spans="1:13" ht="14.45" customHeight="1" x14ac:dyDescent="0.2">
      <c r="A12" s="750" t="s">
        <v>4312</v>
      </c>
      <c r="B12" s="892">
        <v>901080</v>
      </c>
      <c r="C12" s="716">
        <v>0.87145657659191111</v>
      </c>
      <c r="D12" s="892">
        <v>1033993</v>
      </c>
      <c r="E12" s="716">
        <v>1</v>
      </c>
      <c r="F12" s="892">
        <v>996779</v>
      </c>
      <c r="G12" s="745">
        <v>0.96400942752997365</v>
      </c>
      <c r="H12" s="892"/>
      <c r="I12" s="716"/>
      <c r="J12" s="892"/>
      <c r="K12" s="716"/>
      <c r="L12" s="892"/>
      <c r="M12" s="893"/>
    </row>
    <row r="13" spans="1:13" ht="14.45" customHeight="1" x14ac:dyDescent="0.2">
      <c r="A13" s="750" t="s">
        <v>4313</v>
      </c>
      <c r="B13" s="892">
        <v>1408012</v>
      </c>
      <c r="C13" s="716">
        <v>1.5209304385492088</v>
      </c>
      <c r="D13" s="892">
        <v>925757</v>
      </c>
      <c r="E13" s="716">
        <v>1</v>
      </c>
      <c r="F13" s="892">
        <v>956289</v>
      </c>
      <c r="G13" s="745">
        <v>1.0329805769764635</v>
      </c>
      <c r="H13" s="892"/>
      <c r="I13" s="716"/>
      <c r="J13" s="892"/>
      <c r="K13" s="716"/>
      <c r="L13" s="892"/>
      <c r="M13" s="893"/>
    </row>
    <row r="14" spans="1:13" ht="14.45" customHeight="1" x14ac:dyDescent="0.2">
      <c r="A14" s="750" t="s">
        <v>4314</v>
      </c>
      <c r="B14" s="892">
        <v>1022963</v>
      </c>
      <c r="C14" s="716">
        <v>0.797903847158837</v>
      </c>
      <c r="D14" s="892">
        <v>1282063</v>
      </c>
      <c r="E14" s="716">
        <v>1</v>
      </c>
      <c r="F14" s="892">
        <v>1309303</v>
      </c>
      <c r="G14" s="745">
        <v>1.021247005802367</v>
      </c>
      <c r="H14" s="892"/>
      <c r="I14" s="716"/>
      <c r="J14" s="892"/>
      <c r="K14" s="716"/>
      <c r="L14" s="892"/>
      <c r="M14" s="893"/>
    </row>
    <row r="15" spans="1:13" ht="14.45" customHeight="1" x14ac:dyDescent="0.2">
      <c r="A15" s="750" t="s">
        <v>4315</v>
      </c>
      <c r="B15" s="892">
        <v>44824</v>
      </c>
      <c r="C15" s="716">
        <v>0.61090591907104796</v>
      </c>
      <c r="D15" s="892">
        <v>73373</v>
      </c>
      <c r="E15" s="716">
        <v>1</v>
      </c>
      <c r="F15" s="892">
        <v>29054</v>
      </c>
      <c r="G15" s="745">
        <v>0.3959767216823627</v>
      </c>
      <c r="H15" s="892"/>
      <c r="I15" s="716"/>
      <c r="J15" s="892"/>
      <c r="K15" s="716"/>
      <c r="L15" s="892"/>
      <c r="M15" s="893"/>
    </row>
    <row r="16" spans="1:13" ht="14.45" customHeight="1" x14ac:dyDescent="0.2">
      <c r="A16" s="750" t="s">
        <v>4316</v>
      </c>
      <c r="B16" s="892">
        <v>108196</v>
      </c>
      <c r="C16" s="716">
        <v>2.4806493030080703</v>
      </c>
      <c r="D16" s="892">
        <v>43616</v>
      </c>
      <c r="E16" s="716">
        <v>1</v>
      </c>
      <c r="F16" s="892"/>
      <c r="G16" s="745"/>
      <c r="H16" s="892"/>
      <c r="I16" s="716"/>
      <c r="J16" s="892"/>
      <c r="K16" s="716"/>
      <c r="L16" s="892"/>
      <c r="M16" s="893"/>
    </row>
    <row r="17" spans="1:13" ht="14.45" customHeight="1" thickBot="1" x14ac:dyDescent="0.25">
      <c r="A17" s="895" t="s">
        <v>2036</v>
      </c>
      <c r="B17" s="894"/>
      <c r="C17" s="723"/>
      <c r="D17" s="894">
        <v>266</v>
      </c>
      <c r="E17" s="723">
        <v>1</v>
      </c>
      <c r="F17" s="894"/>
      <c r="G17" s="735"/>
      <c r="H17" s="894"/>
      <c r="I17" s="723"/>
      <c r="J17" s="894"/>
      <c r="K17" s="723"/>
      <c r="L17" s="894"/>
      <c r="M17" s="762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 xr:uid="{F4A1A76C-28B5-4E1A-B9E4-BD5CEACD208E}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List1">
    <tabColor theme="0" tint="-0.249977111117893"/>
    <outlinePr summaryRight="0"/>
    <pageSetUpPr fitToPage="1"/>
  </sheetPr>
  <dimension ref="A1:Q458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ColWidth="8.85546875" defaultRowHeight="14.45" customHeight="1" outlineLevelCol="1" x14ac:dyDescent="0.2"/>
  <cols>
    <col min="1" max="1" width="3" style="233" bestFit="1" customWidth="1"/>
    <col min="2" max="2" width="8.7109375" style="233" bestFit="1" customWidth="1"/>
    <col min="3" max="3" width="2.140625" style="233" bestFit="1" customWidth="1"/>
    <col min="4" max="4" width="8" style="233" bestFit="1" customWidth="1"/>
    <col min="5" max="5" width="52.85546875" style="233" bestFit="1" customWidth="1" collapsed="1"/>
    <col min="6" max="7" width="11.140625" style="313" hidden="1" customWidth="1" outlineLevel="1"/>
    <col min="8" max="9" width="9.28515625" style="313" hidden="1" customWidth="1"/>
    <col min="10" max="11" width="11.140625" style="313" customWidth="1"/>
    <col min="12" max="13" width="9.28515625" style="313" hidden="1" customWidth="1"/>
    <col min="14" max="15" width="11.140625" style="313" customWidth="1"/>
    <col min="16" max="16" width="11.140625" style="316" customWidth="1"/>
    <col min="17" max="17" width="11.140625" style="313" customWidth="1"/>
    <col min="18" max="16384" width="8.85546875" style="233"/>
  </cols>
  <sheetData>
    <row r="1" spans="1:17" ht="18.600000000000001" customHeight="1" thickBot="1" x14ac:dyDescent="0.35">
      <c r="A1" s="504" t="s">
        <v>5181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492"/>
      <c r="P1" s="492"/>
      <c r="Q1" s="492"/>
    </row>
    <row r="2" spans="1:17" ht="14.45" customHeight="1" thickBot="1" x14ac:dyDescent="0.25">
      <c r="A2" s="666" t="s">
        <v>305</v>
      </c>
      <c r="B2" s="206"/>
      <c r="C2" s="206"/>
      <c r="D2" s="206"/>
      <c r="E2" s="206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29"/>
      <c r="Q2" s="332"/>
    </row>
    <row r="3" spans="1:17" ht="14.45" customHeight="1" thickBot="1" x14ac:dyDescent="0.25">
      <c r="E3" s="98" t="s">
        <v>143</v>
      </c>
      <c r="F3" s="193">
        <f t="shared" ref="F3:O3" si="0">SUBTOTAL(9,F6:F1048576)</f>
        <v>74166.76999999999</v>
      </c>
      <c r="G3" s="197">
        <f t="shared" si="0"/>
        <v>12368496.079999998</v>
      </c>
      <c r="H3" s="198"/>
      <c r="I3" s="198"/>
      <c r="J3" s="193">
        <f t="shared" si="0"/>
        <v>73855.7</v>
      </c>
      <c r="K3" s="197">
        <f t="shared" si="0"/>
        <v>10880805.180000002</v>
      </c>
      <c r="L3" s="198"/>
      <c r="M3" s="198"/>
      <c r="N3" s="193">
        <f t="shared" si="0"/>
        <v>73228.539999999979</v>
      </c>
      <c r="O3" s="197">
        <f t="shared" si="0"/>
        <v>12001093.319999998</v>
      </c>
      <c r="P3" s="163">
        <f>IF(K3=0,"",O3/K3)</f>
        <v>1.1029600403156925</v>
      </c>
      <c r="Q3" s="195">
        <f>IF(N3=0,"",O3/N3)</f>
        <v>163.8854648747606</v>
      </c>
    </row>
    <row r="4" spans="1:17" ht="14.45" customHeight="1" x14ac:dyDescent="0.2">
      <c r="A4" s="597" t="s">
        <v>60</v>
      </c>
      <c r="B4" s="595" t="s">
        <v>105</v>
      </c>
      <c r="C4" s="597" t="s">
        <v>106</v>
      </c>
      <c r="D4" s="606" t="s">
        <v>76</v>
      </c>
      <c r="E4" s="598" t="s">
        <v>11</v>
      </c>
      <c r="F4" s="604">
        <v>2015</v>
      </c>
      <c r="G4" s="605"/>
      <c r="H4" s="196"/>
      <c r="I4" s="196"/>
      <c r="J4" s="604">
        <v>2018</v>
      </c>
      <c r="K4" s="605"/>
      <c r="L4" s="196"/>
      <c r="M4" s="196"/>
      <c r="N4" s="604">
        <v>2019</v>
      </c>
      <c r="O4" s="605"/>
      <c r="P4" s="607" t="s">
        <v>2</v>
      </c>
      <c r="Q4" s="596" t="s">
        <v>108</v>
      </c>
    </row>
    <row r="5" spans="1:17" ht="14.45" customHeight="1" thickBot="1" x14ac:dyDescent="0.25">
      <c r="A5" s="792"/>
      <c r="B5" s="790"/>
      <c r="C5" s="792"/>
      <c r="D5" s="803"/>
      <c r="E5" s="794"/>
      <c r="F5" s="804" t="s">
        <v>77</v>
      </c>
      <c r="G5" s="805" t="s">
        <v>14</v>
      </c>
      <c r="H5" s="806"/>
      <c r="I5" s="806"/>
      <c r="J5" s="804" t="s">
        <v>77</v>
      </c>
      <c r="K5" s="805" t="s">
        <v>14</v>
      </c>
      <c r="L5" s="806"/>
      <c r="M5" s="806"/>
      <c r="N5" s="804" t="s">
        <v>77</v>
      </c>
      <c r="O5" s="805" t="s">
        <v>14</v>
      </c>
      <c r="P5" s="807"/>
      <c r="Q5" s="799"/>
    </row>
    <row r="6" spans="1:17" ht="14.45" customHeight="1" x14ac:dyDescent="0.2">
      <c r="A6" s="708" t="s">
        <v>4317</v>
      </c>
      <c r="B6" s="709" t="s">
        <v>4318</v>
      </c>
      <c r="C6" s="709" t="s">
        <v>3421</v>
      </c>
      <c r="D6" s="709" t="s">
        <v>3542</v>
      </c>
      <c r="E6" s="709" t="s">
        <v>3543</v>
      </c>
      <c r="F6" s="713"/>
      <c r="G6" s="713"/>
      <c r="H6" s="713"/>
      <c r="I6" s="713"/>
      <c r="J6" s="713"/>
      <c r="K6" s="713"/>
      <c r="L6" s="713"/>
      <c r="M6" s="713"/>
      <c r="N6" s="713">
        <v>0.1</v>
      </c>
      <c r="O6" s="713">
        <v>163.95</v>
      </c>
      <c r="P6" s="734"/>
      <c r="Q6" s="714">
        <v>1639.4999999999998</v>
      </c>
    </row>
    <row r="7" spans="1:17" ht="14.45" customHeight="1" x14ac:dyDescent="0.2">
      <c r="A7" s="715" t="s">
        <v>4317</v>
      </c>
      <c r="B7" s="716" t="s">
        <v>4318</v>
      </c>
      <c r="C7" s="716" t="s">
        <v>3029</v>
      </c>
      <c r="D7" s="716" t="s">
        <v>4319</v>
      </c>
      <c r="E7" s="716" t="s">
        <v>4320</v>
      </c>
      <c r="F7" s="720">
        <v>3</v>
      </c>
      <c r="G7" s="720">
        <v>3408</v>
      </c>
      <c r="H7" s="720">
        <v>0.99912049252418644</v>
      </c>
      <c r="I7" s="720">
        <v>1136</v>
      </c>
      <c r="J7" s="720">
        <v>3</v>
      </c>
      <c r="K7" s="720">
        <v>3411</v>
      </c>
      <c r="L7" s="720">
        <v>1</v>
      </c>
      <c r="M7" s="720">
        <v>1137</v>
      </c>
      <c r="N7" s="720">
        <v>1</v>
      </c>
      <c r="O7" s="720">
        <v>1141</v>
      </c>
      <c r="P7" s="745">
        <v>0.33450600996775137</v>
      </c>
      <c r="Q7" s="721">
        <v>1141</v>
      </c>
    </row>
    <row r="8" spans="1:17" ht="14.45" customHeight="1" x14ac:dyDescent="0.2">
      <c r="A8" s="715" t="s">
        <v>4317</v>
      </c>
      <c r="B8" s="716" t="s">
        <v>4318</v>
      </c>
      <c r="C8" s="716" t="s">
        <v>3029</v>
      </c>
      <c r="D8" s="716" t="s">
        <v>3984</v>
      </c>
      <c r="E8" s="716" t="s">
        <v>3985</v>
      </c>
      <c r="F8" s="720">
        <v>3</v>
      </c>
      <c r="G8" s="720">
        <v>795</v>
      </c>
      <c r="H8" s="720">
        <v>1.494360902255639</v>
      </c>
      <c r="I8" s="720">
        <v>265</v>
      </c>
      <c r="J8" s="720">
        <v>2</v>
      </c>
      <c r="K8" s="720">
        <v>532</v>
      </c>
      <c r="L8" s="720">
        <v>1</v>
      </c>
      <c r="M8" s="720">
        <v>266</v>
      </c>
      <c r="N8" s="720">
        <v>1</v>
      </c>
      <c r="O8" s="720">
        <v>267</v>
      </c>
      <c r="P8" s="745">
        <v>0.50187969924812026</v>
      </c>
      <c r="Q8" s="721">
        <v>267</v>
      </c>
    </row>
    <row r="9" spans="1:17" ht="14.45" customHeight="1" x14ac:dyDescent="0.2">
      <c r="A9" s="715" t="s">
        <v>4317</v>
      </c>
      <c r="B9" s="716" t="s">
        <v>4318</v>
      </c>
      <c r="C9" s="716" t="s">
        <v>3029</v>
      </c>
      <c r="D9" s="716" t="s">
        <v>4321</v>
      </c>
      <c r="E9" s="716" t="s">
        <v>4322</v>
      </c>
      <c r="F9" s="720"/>
      <c r="G9" s="720"/>
      <c r="H9" s="720"/>
      <c r="I9" s="720"/>
      <c r="J9" s="720">
        <v>2</v>
      </c>
      <c r="K9" s="720">
        <v>1138</v>
      </c>
      <c r="L9" s="720">
        <v>1</v>
      </c>
      <c r="M9" s="720">
        <v>569</v>
      </c>
      <c r="N9" s="720">
        <v>1</v>
      </c>
      <c r="O9" s="720">
        <v>571</v>
      </c>
      <c r="P9" s="745">
        <v>0.50175746924428821</v>
      </c>
      <c r="Q9" s="721">
        <v>571</v>
      </c>
    </row>
    <row r="10" spans="1:17" ht="14.45" customHeight="1" x14ac:dyDescent="0.2">
      <c r="A10" s="715" t="s">
        <v>4317</v>
      </c>
      <c r="B10" s="716" t="s">
        <v>4318</v>
      </c>
      <c r="C10" s="716" t="s">
        <v>3029</v>
      </c>
      <c r="D10" s="716" t="s">
        <v>4323</v>
      </c>
      <c r="E10" s="716" t="s">
        <v>4324</v>
      </c>
      <c r="F10" s="720">
        <v>1</v>
      </c>
      <c r="G10" s="720">
        <v>486</v>
      </c>
      <c r="H10" s="720">
        <v>0.3326488706365503</v>
      </c>
      <c r="I10" s="720">
        <v>486</v>
      </c>
      <c r="J10" s="720">
        <v>3</v>
      </c>
      <c r="K10" s="720">
        <v>1461</v>
      </c>
      <c r="L10" s="720">
        <v>1</v>
      </c>
      <c r="M10" s="720">
        <v>487</v>
      </c>
      <c r="N10" s="720"/>
      <c r="O10" s="720"/>
      <c r="P10" s="745"/>
      <c r="Q10" s="721"/>
    </row>
    <row r="11" spans="1:17" ht="14.45" customHeight="1" x14ac:dyDescent="0.2">
      <c r="A11" s="715" t="s">
        <v>4325</v>
      </c>
      <c r="B11" s="716" t="s">
        <v>4326</v>
      </c>
      <c r="C11" s="716" t="s">
        <v>3029</v>
      </c>
      <c r="D11" s="716" t="s">
        <v>4327</v>
      </c>
      <c r="E11" s="716" t="s">
        <v>4328</v>
      </c>
      <c r="F11" s="720"/>
      <c r="G11" s="720"/>
      <c r="H11" s="720"/>
      <c r="I11" s="720"/>
      <c r="J11" s="720">
        <v>1</v>
      </c>
      <c r="K11" s="720">
        <v>148</v>
      </c>
      <c r="L11" s="720">
        <v>1</v>
      </c>
      <c r="M11" s="720">
        <v>148</v>
      </c>
      <c r="N11" s="720"/>
      <c r="O11" s="720"/>
      <c r="P11" s="745"/>
      <c r="Q11" s="721"/>
    </row>
    <row r="12" spans="1:17" ht="14.45" customHeight="1" x14ac:dyDescent="0.2">
      <c r="A12" s="715" t="s">
        <v>4329</v>
      </c>
      <c r="B12" s="716" t="s">
        <v>4330</v>
      </c>
      <c r="C12" s="716" t="s">
        <v>3558</v>
      </c>
      <c r="D12" s="716" t="s">
        <v>4331</v>
      </c>
      <c r="E12" s="716" t="s">
        <v>4332</v>
      </c>
      <c r="F12" s="720"/>
      <c r="G12" s="720"/>
      <c r="H12" s="720"/>
      <c r="I12" s="720"/>
      <c r="J12" s="720"/>
      <c r="K12" s="720"/>
      <c r="L12" s="720"/>
      <c r="M12" s="720"/>
      <c r="N12" s="720">
        <v>194</v>
      </c>
      <c r="O12" s="720">
        <v>6619.28</v>
      </c>
      <c r="P12" s="745"/>
      <c r="Q12" s="721">
        <v>34.119999999999997</v>
      </c>
    </row>
    <row r="13" spans="1:17" ht="14.45" customHeight="1" x14ac:dyDescent="0.2">
      <c r="A13" s="715" t="s">
        <v>4329</v>
      </c>
      <c r="B13" s="716" t="s">
        <v>4330</v>
      </c>
      <c r="C13" s="716" t="s">
        <v>3558</v>
      </c>
      <c r="D13" s="716" t="s">
        <v>4333</v>
      </c>
      <c r="E13" s="716" t="s">
        <v>4334</v>
      </c>
      <c r="F13" s="720">
        <v>134</v>
      </c>
      <c r="G13" s="720">
        <v>2737.56</v>
      </c>
      <c r="H13" s="720"/>
      <c r="I13" s="720">
        <v>20.429552238805968</v>
      </c>
      <c r="J13" s="720"/>
      <c r="K13" s="720"/>
      <c r="L13" s="720"/>
      <c r="M13" s="720"/>
      <c r="N13" s="720">
        <v>51</v>
      </c>
      <c r="O13" s="720">
        <v>1037.8499999999999</v>
      </c>
      <c r="P13" s="745"/>
      <c r="Q13" s="721">
        <v>20.349999999999998</v>
      </c>
    </row>
    <row r="14" spans="1:17" ht="14.45" customHeight="1" x14ac:dyDescent="0.2">
      <c r="A14" s="715" t="s">
        <v>4329</v>
      </c>
      <c r="B14" s="716" t="s">
        <v>4330</v>
      </c>
      <c r="C14" s="716" t="s">
        <v>3558</v>
      </c>
      <c r="D14" s="716" t="s">
        <v>4335</v>
      </c>
      <c r="E14" s="716" t="s">
        <v>4336</v>
      </c>
      <c r="F14" s="720">
        <v>300</v>
      </c>
      <c r="G14" s="720">
        <v>2562</v>
      </c>
      <c r="H14" s="720"/>
      <c r="I14" s="720">
        <v>8.5399999999999991</v>
      </c>
      <c r="J14" s="720"/>
      <c r="K14" s="720"/>
      <c r="L14" s="720"/>
      <c r="M14" s="720"/>
      <c r="N14" s="720"/>
      <c r="O14" s="720"/>
      <c r="P14" s="745"/>
      <c r="Q14" s="721"/>
    </row>
    <row r="15" spans="1:17" ht="14.45" customHeight="1" x14ac:dyDescent="0.2">
      <c r="A15" s="715" t="s">
        <v>4329</v>
      </c>
      <c r="B15" s="716" t="s">
        <v>4330</v>
      </c>
      <c r="C15" s="716" t="s">
        <v>3029</v>
      </c>
      <c r="D15" s="716" t="s">
        <v>4337</v>
      </c>
      <c r="E15" s="716" t="s">
        <v>4338</v>
      </c>
      <c r="F15" s="720">
        <v>1</v>
      </c>
      <c r="G15" s="720">
        <v>717</v>
      </c>
      <c r="H15" s="720"/>
      <c r="I15" s="720">
        <v>717</v>
      </c>
      <c r="J15" s="720"/>
      <c r="K15" s="720"/>
      <c r="L15" s="720"/>
      <c r="M15" s="720"/>
      <c r="N15" s="720"/>
      <c r="O15" s="720"/>
      <c r="P15" s="745"/>
      <c r="Q15" s="721"/>
    </row>
    <row r="16" spans="1:17" ht="14.45" customHeight="1" x14ac:dyDescent="0.2">
      <c r="A16" s="715" t="s">
        <v>4329</v>
      </c>
      <c r="B16" s="716" t="s">
        <v>4330</v>
      </c>
      <c r="C16" s="716" t="s">
        <v>3029</v>
      </c>
      <c r="D16" s="716" t="s">
        <v>4339</v>
      </c>
      <c r="E16" s="716" t="s">
        <v>4340</v>
      </c>
      <c r="F16" s="720">
        <v>1</v>
      </c>
      <c r="G16" s="720">
        <v>2638</v>
      </c>
      <c r="H16" s="720"/>
      <c r="I16" s="720">
        <v>2638</v>
      </c>
      <c r="J16" s="720"/>
      <c r="K16" s="720"/>
      <c r="L16" s="720"/>
      <c r="M16" s="720"/>
      <c r="N16" s="720"/>
      <c r="O16" s="720"/>
      <c r="P16" s="745"/>
      <c r="Q16" s="721"/>
    </row>
    <row r="17" spans="1:17" ht="14.45" customHeight="1" x14ac:dyDescent="0.2">
      <c r="A17" s="715" t="s">
        <v>4329</v>
      </c>
      <c r="B17" s="716" t="s">
        <v>4330</v>
      </c>
      <c r="C17" s="716" t="s">
        <v>3029</v>
      </c>
      <c r="D17" s="716" t="s">
        <v>4341</v>
      </c>
      <c r="E17" s="716" t="s">
        <v>4342</v>
      </c>
      <c r="F17" s="720">
        <v>2</v>
      </c>
      <c r="G17" s="720">
        <v>3650</v>
      </c>
      <c r="H17" s="720"/>
      <c r="I17" s="720">
        <v>1825</v>
      </c>
      <c r="J17" s="720"/>
      <c r="K17" s="720"/>
      <c r="L17" s="720"/>
      <c r="M17" s="720"/>
      <c r="N17" s="720">
        <v>1</v>
      </c>
      <c r="O17" s="720">
        <v>1831</v>
      </c>
      <c r="P17" s="745"/>
      <c r="Q17" s="721">
        <v>1831</v>
      </c>
    </row>
    <row r="18" spans="1:17" ht="14.45" customHeight="1" x14ac:dyDescent="0.2">
      <c r="A18" s="715" t="s">
        <v>4329</v>
      </c>
      <c r="B18" s="716" t="s">
        <v>4330</v>
      </c>
      <c r="C18" s="716" t="s">
        <v>3029</v>
      </c>
      <c r="D18" s="716" t="s">
        <v>4343</v>
      </c>
      <c r="E18" s="716" t="s">
        <v>4344</v>
      </c>
      <c r="F18" s="720">
        <v>1</v>
      </c>
      <c r="G18" s="720">
        <v>429</v>
      </c>
      <c r="H18" s="720"/>
      <c r="I18" s="720">
        <v>429</v>
      </c>
      <c r="J18" s="720"/>
      <c r="K18" s="720"/>
      <c r="L18" s="720"/>
      <c r="M18" s="720"/>
      <c r="N18" s="720"/>
      <c r="O18" s="720"/>
      <c r="P18" s="745"/>
      <c r="Q18" s="721"/>
    </row>
    <row r="19" spans="1:17" ht="14.45" customHeight="1" x14ac:dyDescent="0.2">
      <c r="A19" s="715" t="s">
        <v>4329</v>
      </c>
      <c r="B19" s="716" t="s">
        <v>4330</v>
      </c>
      <c r="C19" s="716" t="s">
        <v>3029</v>
      </c>
      <c r="D19" s="716" t="s">
        <v>4345</v>
      </c>
      <c r="E19" s="716" t="s">
        <v>4346</v>
      </c>
      <c r="F19" s="720">
        <v>1</v>
      </c>
      <c r="G19" s="720">
        <v>3520</v>
      </c>
      <c r="H19" s="720"/>
      <c r="I19" s="720">
        <v>3520</v>
      </c>
      <c r="J19" s="720"/>
      <c r="K19" s="720"/>
      <c r="L19" s="720"/>
      <c r="M19" s="720"/>
      <c r="N19" s="720">
        <v>1</v>
      </c>
      <c r="O19" s="720">
        <v>3533</v>
      </c>
      <c r="P19" s="745"/>
      <c r="Q19" s="721">
        <v>3533</v>
      </c>
    </row>
    <row r="20" spans="1:17" ht="14.45" customHeight="1" x14ac:dyDescent="0.2">
      <c r="A20" s="715" t="s">
        <v>4329</v>
      </c>
      <c r="B20" s="716" t="s">
        <v>4330</v>
      </c>
      <c r="C20" s="716" t="s">
        <v>3029</v>
      </c>
      <c r="D20" s="716" t="s">
        <v>4347</v>
      </c>
      <c r="E20" s="716" t="s">
        <v>4348</v>
      </c>
      <c r="F20" s="720"/>
      <c r="G20" s="720"/>
      <c r="H20" s="720"/>
      <c r="I20" s="720"/>
      <c r="J20" s="720"/>
      <c r="K20" s="720"/>
      <c r="L20" s="720"/>
      <c r="M20" s="720"/>
      <c r="N20" s="720">
        <v>1</v>
      </c>
      <c r="O20" s="720">
        <v>14515</v>
      </c>
      <c r="P20" s="745"/>
      <c r="Q20" s="721">
        <v>14515</v>
      </c>
    </row>
    <row r="21" spans="1:17" ht="14.45" customHeight="1" x14ac:dyDescent="0.2">
      <c r="A21" s="715" t="s">
        <v>4329</v>
      </c>
      <c r="B21" s="716" t="s">
        <v>4330</v>
      </c>
      <c r="C21" s="716" t="s">
        <v>3029</v>
      </c>
      <c r="D21" s="716" t="s">
        <v>4349</v>
      </c>
      <c r="E21" s="716" t="s">
        <v>4350</v>
      </c>
      <c r="F21" s="720">
        <v>1</v>
      </c>
      <c r="G21" s="720">
        <v>1691</v>
      </c>
      <c r="H21" s="720"/>
      <c r="I21" s="720">
        <v>1691</v>
      </c>
      <c r="J21" s="720"/>
      <c r="K21" s="720"/>
      <c r="L21" s="720"/>
      <c r="M21" s="720"/>
      <c r="N21" s="720"/>
      <c r="O21" s="720"/>
      <c r="P21" s="745"/>
      <c r="Q21" s="721"/>
    </row>
    <row r="22" spans="1:17" ht="14.45" customHeight="1" x14ac:dyDescent="0.2">
      <c r="A22" s="715" t="s">
        <v>4351</v>
      </c>
      <c r="B22" s="716" t="s">
        <v>4352</v>
      </c>
      <c r="C22" s="716" t="s">
        <v>3029</v>
      </c>
      <c r="D22" s="716" t="s">
        <v>4353</v>
      </c>
      <c r="E22" s="716" t="s">
        <v>4354</v>
      </c>
      <c r="F22" s="720"/>
      <c r="G22" s="720"/>
      <c r="H22" s="720"/>
      <c r="I22" s="720"/>
      <c r="J22" s="720">
        <v>1</v>
      </c>
      <c r="K22" s="720">
        <v>299</v>
      </c>
      <c r="L22" s="720">
        <v>1</v>
      </c>
      <c r="M22" s="720">
        <v>299</v>
      </c>
      <c r="N22" s="720"/>
      <c r="O22" s="720"/>
      <c r="P22" s="745"/>
      <c r="Q22" s="721"/>
    </row>
    <row r="23" spans="1:17" ht="14.45" customHeight="1" x14ac:dyDescent="0.2">
      <c r="A23" s="715" t="s">
        <v>4351</v>
      </c>
      <c r="B23" s="716" t="s">
        <v>4352</v>
      </c>
      <c r="C23" s="716" t="s">
        <v>3029</v>
      </c>
      <c r="D23" s="716" t="s">
        <v>4355</v>
      </c>
      <c r="E23" s="716" t="s">
        <v>4356</v>
      </c>
      <c r="F23" s="720"/>
      <c r="G23" s="720"/>
      <c r="H23" s="720"/>
      <c r="I23" s="720"/>
      <c r="J23" s="720">
        <v>15</v>
      </c>
      <c r="K23" s="720">
        <v>157005</v>
      </c>
      <c r="L23" s="720">
        <v>1</v>
      </c>
      <c r="M23" s="720">
        <v>10467</v>
      </c>
      <c r="N23" s="720"/>
      <c r="O23" s="720"/>
      <c r="P23" s="745"/>
      <c r="Q23" s="721"/>
    </row>
    <row r="24" spans="1:17" ht="14.45" customHeight="1" x14ac:dyDescent="0.2">
      <c r="A24" s="715" t="s">
        <v>4351</v>
      </c>
      <c r="B24" s="716" t="s">
        <v>4352</v>
      </c>
      <c r="C24" s="716" t="s">
        <v>3029</v>
      </c>
      <c r="D24" s="716" t="s">
        <v>4357</v>
      </c>
      <c r="E24" s="716" t="s">
        <v>4358</v>
      </c>
      <c r="F24" s="720"/>
      <c r="G24" s="720"/>
      <c r="H24" s="720"/>
      <c r="I24" s="720"/>
      <c r="J24" s="720">
        <v>1</v>
      </c>
      <c r="K24" s="720">
        <v>11396</v>
      </c>
      <c r="L24" s="720">
        <v>1</v>
      </c>
      <c r="M24" s="720">
        <v>11396</v>
      </c>
      <c r="N24" s="720"/>
      <c r="O24" s="720"/>
      <c r="P24" s="745"/>
      <c r="Q24" s="721"/>
    </row>
    <row r="25" spans="1:17" ht="14.45" customHeight="1" x14ac:dyDescent="0.2">
      <c r="A25" s="715" t="s">
        <v>4351</v>
      </c>
      <c r="B25" s="716" t="s">
        <v>4352</v>
      </c>
      <c r="C25" s="716" t="s">
        <v>3029</v>
      </c>
      <c r="D25" s="716" t="s">
        <v>4359</v>
      </c>
      <c r="E25" s="716" t="s">
        <v>4360</v>
      </c>
      <c r="F25" s="720"/>
      <c r="G25" s="720"/>
      <c r="H25" s="720"/>
      <c r="I25" s="720"/>
      <c r="J25" s="720">
        <v>2</v>
      </c>
      <c r="K25" s="720">
        <v>2214</v>
      </c>
      <c r="L25" s="720">
        <v>1</v>
      </c>
      <c r="M25" s="720">
        <v>1107</v>
      </c>
      <c r="N25" s="720"/>
      <c r="O25" s="720"/>
      <c r="P25" s="745"/>
      <c r="Q25" s="721"/>
    </row>
    <row r="26" spans="1:17" ht="14.45" customHeight="1" x14ac:dyDescent="0.2">
      <c r="A26" s="715" t="s">
        <v>4351</v>
      </c>
      <c r="B26" s="716" t="s">
        <v>4352</v>
      </c>
      <c r="C26" s="716" t="s">
        <v>3029</v>
      </c>
      <c r="D26" s="716" t="s">
        <v>4361</v>
      </c>
      <c r="E26" s="716" t="s">
        <v>4362</v>
      </c>
      <c r="F26" s="720"/>
      <c r="G26" s="720"/>
      <c r="H26" s="720"/>
      <c r="I26" s="720"/>
      <c r="J26" s="720">
        <v>4</v>
      </c>
      <c r="K26" s="720">
        <v>6516</v>
      </c>
      <c r="L26" s="720">
        <v>1</v>
      </c>
      <c r="M26" s="720">
        <v>1629</v>
      </c>
      <c r="N26" s="720"/>
      <c r="O26" s="720"/>
      <c r="P26" s="745"/>
      <c r="Q26" s="721"/>
    </row>
    <row r="27" spans="1:17" ht="14.45" customHeight="1" x14ac:dyDescent="0.2">
      <c r="A27" s="715" t="s">
        <v>4351</v>
      </c>
      <c r="B27" s="716" t="s">
        <v>4352</v>
      </c>
      <c r="C27" s="716" t="s">
        <v>3029</v>
      </c>
      <c r="D27" s="716" t="s">
        <v>4363</v>
      </c>
      <c r="E27" s="716" t="s">
        <v>4364</v>
      </c>
      <c r="F27" s="720"/>
      <c r="G27" s="720"/>
      <c r="H27" s="720"/>
      <c r="I27" s="720"/>
      <c r="J27" s="720">
        <v>1</v>
      </c>
      <c r="K27" s="720">
        <v>39726</v>
      </c>
      <c r="L27" s="720">
        <v>1</v>
      </c>
      <c r="M27" s="720">
        <v>39726</v>
      </c>
      <c r="N27" s="720"/>
      <c r="O27" s="720"/>
      <c r="P27" s="745"/>
      <c r="Q27" s="721"/>
    </row>
    <row r="28" spans="1:17" ht="14.45" customHeight="1" x14ac:dyDescent="0.2">
      <c r="A28" s="715" t="s">
        <v>4351</v>
      </c>
      <c r="B28" s="716" t="s">
        <v>4365</v>
      </c>
      <c r="C28" s="716" t="s">
        <v>3029</v>
      </c>
      <c r="D28" s="716" t="s">
        <v>4366</v>
      </c>
      <c r="E28" s="716" t="s">
        <v>4367</v>
      </c>
      <c r="F28" s="720"/>
      <c r="G28" s="720"/>
      <c r="H28" s="720"/>
      <c r="I28" s="720"/>
      <c r="J28" s="720">
        <v>4</v>
      </c>
      <c r="K28" s="720">
        <v>888</v>
      </c>
      <c r="L28" s="720">
        <v>1</v>
      </c>
      <c r="M28" s="720">
        <v>222</v>
      </c>
      <c r="N28" s="720"/>
      <c r="O28" s="720"/>
      <c r="P28" s="745"/>
      <c r="Q28" s="721"/>
    </row>
    <row r="29" spans="1:17" ht="14.45" customHeight="1" x14ac:dyDescent="0.2">
      <c r="A29" s="715" t="s">
        <v>4351</v>
      </c>
      <c r="B29" s="716" t="s">
        <v>4365</v>
      </c>
      <c r="C29" s="716" t="s">
        <v>3029</v>
      </c>
      <c r="D29" s="716" t="s">
        <v>4368</v>
      </c>
      <c r="E29" s="716" t="s">
        <v>4369</v>
      </c>
      <c r="F29" s="720"/>
      <c r="G29" s="720"/>
      <c r="H29" s="720"/>
      <c r="I29" s="720"/>
      <c r="J29" s="720">
        <v>4</v>
      </c>
      <c r="K29" s="720">
        <v>2036</v>
      </c>
      <c r="L29" s="720">
        <v>1</v>
      </c>
      <c r="M29" s="720">
        <v>509</v>
      </c>
      <c r="N29" s="720"/>
      <c r="O29" s="720"/>
      <c r="P29" s="745"/>
      <c r="Q29" s="721"/>
    </row>
    <row r="30" spans="1:17" ht="14.45" customHeight="1" x14ac:dyDescent="0.2">
      <c r="A30" s="715" t="s">
        <v>4351</v>
      </c>
      <c r="B30" s="716" t="s">
        <v>4365</v>
      </c>
      <c r="C30" s="716" t="s">
        <v>3029</v>
      </c>
      <c r="D30" s="716" t="s">
        <v>4370</v>
      </c>
      <c r="E30" s="716" t="s">
        <v>4371</v>
      </c>
      <c r="F30" s="720">
        <v>162</v>
      </c>
      <c r="G30" s="720">
        <v>57348</v>
      </c>
      <c r="H30" s="720">
        <v>0.88043478260869568</v>
      </c>
      <c r="I30" s="720">
        <v>354</v>
      </c>
      <c r="J30" s="720">
        <v>184</v>
      </c>
      <c r="K30" s="720">
        <v>65136</v>
      </c>
      <c r="L30" s="720">
        <v>1</v>
      </c>
      <c r="M30" s="720">
        <v>354</v>
      </c>
      <c r="N30" s="720">
        <v>177</v>
      </c>
      <c r="O30" s="720">
        <v>62835</v>
      </c>
      <c r="P30" s="745">
        <v>0.96467391304347827</v>
      </c>
      <c r="Q30" s="721">
        <v>355</v>
      </c>
    </row>
    <row r="31" spans="1:17" ht="14.45" customHeight="1" x14ac:dyDescent="0.2">
      <c r="A31" s="715" t="s">
        <v>4351</v>
      </c>
      <c r="B31" s="716" t="s">
        <v>4365</v>
      </c>
      <c r="C31" s="716" t="s">
        <v>3029</v>
      </c>
      <c r="D31" s="716" t="s">
        <v>4372</v>
      </c>
      <c r="E31" s="716" t="s">
        <v>4373</v>
      </c>
      <c r="F31" s="720">
        <v>286</v>
      </c>
      <c r="G31" s="720">
        <v>18590</v>
      </c>
      <c r="H31" s="720">
        <v>0.96621621621621623</v>
      </c>
      <c r="I31" s="720">
        <v>65</v>
      </c>
      <c r="J31" s="720">
        <v>296</v>
      </c>
      <c r="K31" s="720">
        <v>19240</v>
      </c>
      <c r="L31" s="720">
        <v>1</v>
      </c>
      <c r="M31" s="720">
        <v>65</v>
      </c>
      <c r="N31" s="720">
        <v>272</v>
      </c>
      <c r="O31" s="720">
        <v>17680</v>
      </c>
      <c r="P31" s="745">
        <v>0.91891891891891897</v>
      </c>
      <c r="Q31" s="721">
        <v>65</v>
      </c>
    </row>
    <row r="32" spans="1:17" ht="14.45" customHeight="1" x14ac:dyDescent="0.2">
      <c r="A32" s="715" t="s">
        <v>4351</v>
      </c>
      <c r="B32" s="716" t="s">
        <v>4365</v>
      </c>
      <c r="C32" s="716" t="s">
        <v>3029</v>
      </c>
      <c r="D32" s="716" t="s">
        <v>4374</v>
      </c>
      <c r="E32" s="716" t="s">
        <v>4375</v>
      </c>
      <c r="F32" s="720"/>
      <c r="G32" s="720"/>
      <c r="H32" s="720"/>
      <c r="I32" s="720"/>
      <c r="J32" s="720"/>
      <c r="K32" s="720"/>
      <c r="L32" s="720"/>
      <c r="M32" s="720"/>
      <c r="N32" s="720">
        <v>1</v>
      </c>
      <c r="O32" s="720">
        <v>546</v>
      </c>
      <c r="P32" s="745"/>
      <c r="Q32" s="721">
        <v>546</v>
      </c>
    </row>
    <row r="33" spans="1:17" ht="14.45" customHeight="1" x14ac:dyDescent="0.2">
      <c r="A33" s="715" t="s">
        <v>4351</v>
      </c>
      <c r="B33" s="716" t="s">
        <v>4365</v>
      </c>
      <c r="C33" s="716" t="s">
        <v>3029</v>
      </c>
      <c r="D33" s="716" t="s">
        <v>4376</v>
      </c>
      <c r="E33" s="716" t="s">
        <v>4377</v>
      </c>
      <c r="F33" s="720">
        <v>15</v>
      </c>
      <c r="G33" s="720">
        <v>8880</v>
      </c>
      <c r="H33" s="720"/>
      <c r="I33" s="720">
        <v>592</v>
      </c>
      <c r="J33" s="720"/>
      <c r="K33" s="720"/>
      <c r="L33" s="720"/>
      <c r="M33" s="720"/>
      <c r="N33" s="720">
        <v>4</v>
      </c>
      <c r="O33" s="720">
        <v>2376</v>
      </c>
      <c r="P33" s="745"/>
      <c r="Q33" s="721">
        <v>594</v>
      </c>
    </row>
    <row r="34" spans="1:17" ht="14.45" customHeight="1" x14ac:dyDescent="0.2">
      <c r="A34" s="715" t="s">
        <v>4351</v>
      </c>
      <c r="B34" s="716" t="s">
        <v>4365</v>
      </c>
      <c r="C34" s="716" t="s">
        <v>3029</v>
      </c>
      <c r="D34" s="716" t="s">
        <v>4378</v>
      </c>
      <c r="E34" s="716" t="s">
        <v>4379</v>
      </c>
      <c r="F34" s="720"/>
      <c r="G34" s="720"/>
      <c r="H34" s="720"/>
      <c r="I34" s="720"/>
      <c r="J34" s="720"/>
      <c r="K34" s="720"/>
      <c r="L34" s="720"/>
      <c r="M34" s="720"/>
      <c r="N34" s="720">
        <v>1</v>
      </c>
      <c r="O34" s="720">
        <v>618</v>
      </c>
      <c r="P34" s="745"/>
      <c r="Q34" s="721">
        <v>618</v>
      </c>
    </row>
    <row r="35" spans="1:17" ht="14.45" customHeight="1" x14ac:dyDescent="0.2">
      <c r="A35" s="715" t="s">
        <v>4351</v>
      </c>
      <c r="B35" s="716" t="s">
        <v>4365</v>
      </c>
      <c r="C35" s="716" t="s">
        <v>3029</v>
      </c>
      <c r="D35" s="716" t="s">
        <v>4380</v>
      </c>
      <c r="E35" s="716" t="s">
        <v>4381</v>
      </c>
      <c r="F35" s="720">
        <v>2</v>
      </c>
      <c r="G35" s="720">
        <v>306</v>
      </c>
      <c r="H35" s="720">
        <v>0.5</v>
      </c>
      <c r="I35" s="720">
        <v>153</v>
      </c>
      <c r="J35" s="720">
        <v>4</v>
      </c>
      <c r="K35" s="720">
        <v>612</v>
      </c>
      <c r="L35" s="720">
        <v>1</v>
      </c>
      <c r="M35" s="720">
        <v>153</v>
      </c>
      <c r="N35" s="720"/>
      <c r="O35" s="720"/>
      <c r="P35" s="745"/>
      <c r="Q35" s="721"/>
    </row>
    <row r="36" spans="1:17" ht="14.45" customHeight="1" x14ac:dyDescent="0.2">
      <c r="A36" s="715" t="s">
        <v>4351</v>
      </c>
      <c r="B36" s="716" t="s">
        <v>4365</v>
      </c>
      <c r="C36" s="716" t="s">
        <v>3029</v>
      </c>
      <c r="D36" s="716" t="s">
        <v>4382</v>
      </c>
      <c r="E36" s="716" t="s">
        <v>4383</v>
      </c>
      <c r="F36" s="720">
        <v>38</v>
      </c>
      <c r="G36" s="720">
        <v>912</v>
      </c>
      <c r="H36" s="720">
        <v>0.99022801302931596</v>
      </c>
      <c r="I36" s="720">
        <v>24</v>
      </c>
      <c r="J36" s="720">
        <v>38</v>
      </c>
      <c r="K36" s="720">
        <v>921</v>
      </c>
      <c r="L36" s="720">
        <v>1</v>
      </c>
      <c r="M36" s="720">
        <v>24.236842105263158</v>
      </c>
      <c r="N36" s="720">
        <v>51</v>
      </c>
      <c r="O36" s="720">
        <v>1326</v>
      </c>
      <c r="P36" s="745">
        <v>1.4397394136807817</v>
      </c>
      <c r="Q36" s="721">
        <v>26</v>
      </c>
    </row>
    <row r="37" spans="1:17" ht="14.45" customHeight="1" x14ac:dyDescent="0.2">
      <c r="A37" s="715" t="s">
        <v>4351</v>
      </c>
      <c r="B37" s="716" t="s">
        <v>4365</v>
      </c>
      <c r="C37" s="716" t="s">
        <v>3029</v>
      </c>
      <c r="D37" s="716" t="s">
        <v>4384</v>
      </c>
      <c r="E37" s="716" t="s">
        <v>4385</v>
      </c>
      <c r="F37" s="720">
        <v>97</v>
      </c>
      <c r="G37" s="720">
        <v>5335</v>
      </c>
      <c r="H37" s="720">
        <v>1.1022727272727273</v>
      </c>
      <c r="I37" s="720">
        <v>55</v>
      </c>
      <c r="J37" s="720">
        <v>88</v>
      </c>
      <c r="K37" s="720">
        <v>4840</v>
      </c>
      <c r="L37" s="720">
        <v>1</v>
      </c>
      <c r="M37" s="720">
        <v>55</v>
      </c>
      <c r="N37" s="720">
        <v>79</v>
      </c>
      <c r="O37" s="720">
        <v>4345</v>
      </c>
      <c r="P37" s="745">
        <v>0.89772727272727271</v>
      </c>
      <c r="Q37" s="721">
        <v>55</v>
      </c>
    </row>
    <row r="38" spans="1:17" ht="14.45" customHeight="1" x14ac:dyDescent="0.2">
      <c r="A38" s="715" t="s">
        <v>4351</v>
      </c>
      <c r="B38" s="716" t="s">
        <v>4365</v>
      </c>
      <c r="C38" s="716" t="s">
        <v>3029</v>
      </c>
      <c r="D38" s="716" t="s">
        <v>4386</v>
      </c>
      <c r="E38" s="716" t="s">
        <v>4387</v>
      </c>
      <c r="F38" s="720">
        <v>2763</v>
      </c>
      <c r="G38" s="720">
        <v>212751</v>
      </c>
      <c r="H38" s="720">
        <v>0.97016776641297264</v>
      </c>
      <c r="I38" s="720">
        <v>77</v>
      </c>
      <c r="J38" s="720">
        <v>2836</v>
      </c>
      <c r="K38" s="720">
        <v>219293</v>
      </c>
      <c r="L38" s="720">
        <v>1</v>
      </c>
      <c r="M38" s="720">
        <v>77.324753173483785</v>
      </c>
      <c r="N38" s="720">
        <v>2814</v>
      </c>
      <c r="O38" s="720">
        <v>219492</v>
      </c>
      <c r="P38" s="745">
        <v>1.0009074617064839</v>
      </c>
      <c r="Q38" s="721">
        <v>78</v>
      </c>
    </row>
    <row r="39" spans="1:17" ht="14.45" customHeight="1" x14ac:dyDescent="0.2">
      <c r="A39" s="715" t="s">
        <v>4351</v>
      </c>
      <c r="B39" s="716" t="s">
        <v>4365</v>
      </c>
      <c r="C39" s="716" t="s">
        <v>3029</v>
      </c>
      <c r="D39" s="716" t="s">
        <v>4388</v>
      </c>
      <c r="E39" s="716" t="s">
        <v>4389</v>
      </c>
      <c r="F39" s="720">
        <v>84</v>
      </c>
      <c r="G39" s="720">
        <v>2016</v>
      </c>
      <c r="H39" s="720">
        <v>0.76363636363636367</v>
      </c>
      <c r="I39" s="720">
        <v>24</v>
      </c>
      <c r="J39" s="720">
        <v>110</v>
      </c>
      <c r="K39" s="720">
        <v>2640</v>
      </c>
      <c r="L39" s="720">
        <v>1</v>
      </c>
      <c r="M39" s="720">
        <v>24</v>
      </c>
      <c r="N39" s="720">
        <v>109</v>
      </c>
      <c r="O39" s="720">
        <v>2616</v>
      </c>
      <c r="P39" s="745">
        <v>0.99090909090909096</v>
      </c>
      <c r="Q39" s="721">
        <v>24</v>
      </c>
    </row>
    <row r="40" spans="1:17" ht="14.45" customHeight="1" x14ac:dyDescent="0.2">
      <c r="A40" s="715" t="s">
        <v>4351</v>
      </c>
      <c r="B40" s="716" t="s">
        <v>4365</v>
      </c>
      <c r="C40" s="716" t="s">
        <v>3029</v>
      </c>
      <c r="D40" s="716" t="s">
        <v>4390</v>
      </c>
      <c r="E40" s="716" t="s">
        <v>4391</v>
      </c>
      <c r="F40" s="720">
        <v>22</v>
      </c>
      <c r="G40" s="720">
        <v>1452</v>
      </c>
      <c r="H40" s="720">
        <v>1.2222222222222223</v>
      </c>
      <c r="I40" s="720">
        <v>66</v>
      </c>
      <c r="J40" s="720">
        <v>18</v>
      </c>
      <c r="K40" s="720">
        <v>1188</v>
      </c>
      <c r="L40" s="720">
        <v>1</v>
      </c>
      <c r="M40" s="720">
        <v>66</v>
      </c>
      <c r="N40" s="720">
        <v>19</v>
      </c>
      <c r="O40" s="720">
        <v>1254</v>
      </c>
      <c r="P40" s="745">
        <v>1.0555555555555556</v>
      </c>
      <c r="Q40" s="721">
        <v>66</v>
      </c>
    </row>
    <row r="41" spans="1:17" ht="14.45" customHeight="1" x14ac:dyDescent="0.2">
      <c r="A41" s="715" t="s">
        <v>4351</v>
      </c>
      <c r="B41" s="716" t="s">
        <v>4365</v>
      </c>
      <c r="C41" s="716" t="s">
        <v>3029</v>
      </c>
      <c r="D41" s="716" t="s">
        <v>4392</v>
      </c>
      <c r="E41" s="716" t="s">
        <v>4393</v>
      </c>
      <c r="F41" s="720"/>
      <c r="G41" s="720"/>
      <c r="H41" s="720"/>
      <c r="I41" s="720"/>
      <c r="J41" s="720"/>
      <c r="K41" s="720"/>
      <c r="L41" s="720"/>
      <c r="M41" s="720"/>
      <c r="N41" s="720">
        <v>1</v>
      </c>
      <c r="O41" s="720">
        <v>301</v>
      </c>
      <c r="P41" s="745"/>
      <c r="Q41" s="721">
        <v>301</v>
      </c>
    </row>
    <row r="42" spans="1:17" ht="14.45" customHeight="1" x14ac:dyDescent="0.2">
      <c r="A42" s="715" t="s">
        <v>4351</v>
      </c>
      <c r="B42" s="716" t="s">
        <v>4365</v>
      </c>
      <c r="C42" s="716" t="s">
        <v>3029</v>
      </c>
      <c r="D42" s="716" t="s">
        <v>4394</v>
      </c>
      <c r="E42" s="716" t="s">
        <v>4395</v>
      </c>
      <c r="F42" s="720"/>
      <c r="G42" s="720"/>
      <c r="H42" s="720"/>
      <c r="I42" s="720"/>
      <c r="J42" s="720">
        <v>87</v>
      </c>
      <c r="K42" s="720">
        <v>30450</v>
      </c>
      <c r="L42" s="720">
        <v>1</v>
      </c>
      <c r="M42" s="720">
        <v>350</v>
      </c>
      <c r="N42" s="720">
        <v>69</v>
      </c>
      <c r="O42" s="720">
        <v>24219</v>
      </c>
      <c r="P42" s="745">
        <v>0.7953694581280788</v>
      </c>
      <c r="Q42" s="721">
        <v>351</v>
      </c>
    </row>
    <row r="43" spans="1:17" ht="14.45" customHeight="1" x14ac:dyDescent="0.2">
      <c r="A43" s="715" t="s">
        <v>4351</v>
      </c>
      <c r="B43" s="716" t="s">
        <v>4365</v>
      </c>
      <c r="C43" s="716" t="s">
        <v>3029</v>
      </c>
      <c r="D43" s="716" t="s">
        <v>4396</v>
      </c>
      <c r="E43" s="716" t="s">
        <v>4397</v>
      </c>
      <c r="F43" s="720">
        <v>44</v>
      </c>
      <c r="G43" s="720">
        <v>1100</v>
      </c>
      <c r="H43" s="720">
        <v>0.6470588235294118</v>
      </c>
      <c r="I43" s="720">
        <v>25</v>
      </c>
      <c r="J43" s="720">
        <v>68</v>
      </c>
      <c r="K43" s="720">
        <v>1700</v>
      </c>
      <c r="L43" s="720">
        <v>1</v>
      </c>
      <c r="M43" s="720">
        <v>25</v>
      </c>
      <c r="N43" s="720">
        <v>57</v>
      </c>
      <c r="O43" s="720">
        <v>1425</v>
      </c>
      <c r="P43" s="745">
        <v>0.83823529411764708</v>
      </c>
      <c r="Q43" s="721">
        <v>25</v>
      </c>
    </row>
    <row r="44" spans="1:17" ht="14.45" customHeight="1" x14ac:dyDescent="0.2">
      <c r="A44" s="715" t="s">
        <v>4351</v>
      </c>
      <c r="B44" s="716" t="s">
        <v>4365</v>
      </c>
      <c r="C44" s="716" t="s">
        <v>3029</v>
      </c>
      <c r="D44" s="716" t="s">
        <v>4398</v>
      </c>
      <c r="E44" s="716" t="s">
        <v>4399</v>
      </c>
      <c r="F44" s="720">
        <v>426</v>
      </c>
      <c r="G44" s="720">
        <v>77106</v>
      </c>
      <c r="H44" s="720">
        <v>1.0314769975786926</v>
      </c>
      <c r="I44" s="720">
        <v>181</v>
      </c>
      <c r="J44" s="720">
        <v>413</v>
      </c>
      <c r="K44" s="720">
        <v>74753</v>
      </c>
      <c r="L44" s="720">
        <v>1</v>
      </c>
      <c r="M44" s="720">
        <v>181</v>
      </c>
      <c r="N44" s="720">
        <v>320</v>
      </c>
      <c r="O44" s="720">
        <v>57920</v>
      </c>
      <c r="P44" s="745">
        <v>0.77481840193704599</v>
      </c>
      <c r="Q44" s="721">
        <v>181</v>
      </c>
    </row>
    <row r="45" spans="1:17" ht="14.45" customHeight="1" x14ac:dyDescent="0.2">
      <c r="A45" s="715" t="s">
        <v>4351</v>
      </c>
      <c r="B45" s="716" t="s">
        <v>4365</v>
      </c>
      <c r="C45" s="716" t="s">
        <v>3029</v>
      </c>
      <c r="D45" s="716" t="s">
        <v>4400</v>
      </c>
      <c r="E45" s="716" t="s">
        <v>4401</v>
      </c>
      <c r="F45" s="720">
        <v>127</v>
      </c>
      <c r="G45" s="720">
        <v>32258</v>
      </c>
      <c r="H45" s="720">
        <v>0.94776119402985071</v>
      </c>
      <c r="I45" s="720">
        <v>254</v>
      </c>
      <c r="J45" s="720">
        <v>134</v>
      </c>
      <c r="K45" s="720">
        <v>34036</v>
      </c>
      <c r="L45" s="720">
        <v>1</v>
      </c>
      <c r="M45" s="720">
        <v>254</v>
      </c>
      <c r="N45" s="720">
        <v>129</v>
      </c>
      <c r="O45" s="720">
        <v>32766</v>
      </c>
      <c r="P45" s="745">
        <v>0.96268656716417911</v>
      </c>
      <c r="Q45" s="721">
        <v>254</v>
      </c>
    </row>
    <row r="46" spans="1:17" ht="14.45" customHeight="1" x14ac:dyDescent="0.2">
      <c r="A46" s="715" t="s">
        <v>4351</v>
      </c>
      <c r="B46" s="716" t="s">
        <v>4365</v>
      </c>
      <c r="C46" s="716" t="s">
        <v>3029</v>
      </c>
      <c r="D46" s="716" t="s">
        <v>4402</v>
      </c>
      <c r="E46" s="716" t="s">
        <v>4403</v>
      </c>
      <c r="F46" s="720">
        <v>701</v>
      </c>
      <c r="G46" s="720">
        <v>152117</v>
      </c>
      <c r="H46" s="720">
        <v>1.0174165457184325</v>
      </c>
      <c r="I46" s="720">
        <v>217</v>
      </c>
      <c r="J46" s="720">
        <v>689</v>
      </c>
      <c r="K46" s="720">
        <v>149513</v>
      </c>
      <c r="L46" s="720">
        <v>1</v>
      </c>
      <c r="M46" s="720">
        <v>217</v>
      </c>
      <c r="N46" s="720">
        <v>694</v>
      </c>
      <c r="O46" s="720">
        <v>150598</v>
      </c>
      <c r="P46" s="745">
        <v>1.0072568940493469</v>
      </c>
      <c r="Q46" s="721">
        <v>217</v>
      </c>
    </row>
    <row r="47" spans="1:17" ht="14.45" customHeight="1" x14ac:dyDescent="0.2">
      <c r="A47" s="715" t="s">
        <v>4351</v>
      </c>
      <c r="B47" s="716" t="s">
        <v>4365</v>
      </c>
      <c r="C47" s="716" t="s">
        <v>3029</v>
      </c>
      <c r="D47" s="716" t="s">
        <v>4404</v>
      </c>
      <c r="E47" s="716" t="s">
        <v>4405</v>
      </c>
      <c r="F47" s="720">
        <v>1</v>
      </c>
      <c r="G47" s="720">
        <v>37</v>
      </c>
      <c r="H47" s="720">
        <v>1</v>
      </c>
      <c r="I47" s="720">
        <v>37</v>
      </c>
      <c r="J47" s="720">
        <v>1</v>
      </c>
      <c r="K47" s="720">
        <v>37</v>
      </c>
      <c r="L47" s="720">
        <v>1</v>
      </c>
      <c r="M47" s="720">
        <v>37</v>
      </c>
      <c r="N47" s="720">
        <v>1</v>
      </c>
      <c r="O47" s="720">
        <v>37</v>
      </c>
      <c r="P47" s="745">
        <v>1</v>
      </c>
      <c r="Q47" s="721">
        <v>37</v>
      </c>
    </row>
    <row r="48" spans="1:17" ht="14.45" customHeight="1" x14ac:dyDescent="0.2">
      <c r="A48" s="715" t="s">
        <v>4351</v>
      </c>
      <c r="B48" s="716" t="s">
        <v>4365</v>
      </c>
      <c r="C48" s="716" t="s">
        <v>3029</v>
      </c>
      <c r="D48" s="716" t="s">
        <v>4406</v>
      </c>
      <c r="E48" s="716" t="s">
        <v>4407</v>
      </c>
      <c r="F48" s="720">
        <v>1</v>
      </c>
      <c r="G48" s="720">
        <v>592</v>
      </c>
      <c r="H48" s="720"/>
      <c r="I48" s="720">
        <v>592</v>
      </c>
      <c r="J48" s="720"/>
      <c r="K48" s="720"/>
      <c r="L48" s="720"/>
      <c r="M48" s="720"/>
      <c r="N48" s="720">
        <v>1</v>
      </c>
      <c r="O48" s="720">
        <v>594</v>
      </c>
      <c r="P48" s="745"/>
      <c r="Q48" s="721">
        <v>594</v>
      </c>
    </row>
    <row r="49" spans="1:17" ht="14.45" customHeight="1" x14ac:dyDescent="0.2">
      <c r="A49" s="715" t="s">
        <v>4351</v>
      </c>
      <c r="B49" s="716" t="s">
        <v>4365</v>
      </c>
      <c r="C49" s="716" t="s">
        <v>3029</v>
      </c>
      <c r="D49" s="716" t="s">
        <v>4408</v>
      </c>
      <c r="E49" s="716" t="s">
        <v>4409</v>
      </c>
      <c r="F49" s="720">
        <v>27</v>
      </c>
      <c r="G49" s="720">
        <v>1350</v>
      </c>
      <c r="H49" s="720">
        <v>1.8</v>
      </c>
      <c r="I49" s="720">
        <v>50</v>
      </c>
      <c r="J49" s="720">
        <v>15</v>
      </c>
      <c r="K49" s="720">
        <v>750</v>
      </c>
      <c r="L49" s="720">
        <v>1</v>
      </c>
      <c r="M49" s="720">
        <v>50</v>
      </c>
      <c r="N49" s="720">
        <v>15</v>
      </c>
      <c r="O49" s="720">
        <v>750</v>
      </c>
      <c r="P49" s="745">
        <v>1</v>
      </c>
      <c r="Q49" s="721">
        <v>50</v>
      </c>
    </row>
    <row r="50" spans="1:17" ht="14.45" customHeight="1" x14ac:dyDescent="0.2">
      <c r="A50" s="715" t="s">
        <v>4351</v>
      </c>
      <c r="B50" s="716" t="s">
        <v>4365</v>
      </c>
      <c r="C50" s="716" t="s">
        <v>3029</v>
      </c>
      <c r="D50" s="716" t="s">
        <v>4410</v>
      </c>
      <c r="E50" s="716" t="s">
        <v>4411</v>
      </c>
      <c r="F50" s="720"/>
      <c r="G50" s="720"/>
      <c r="H50" s="720"/>
      <c r="I50" s="720"/>
      <c r="J50" s="720"/>
      <c r="K50" s="720"/>
      <c r="L50" s="720"/>
      <c r="M50" s="720"/>
      <c r="N50" s="720">
        <v>1</v>
      </c>
      <c r="O50" s="720">
        <v>548</v>
      </c>
      <c r="P50" s="745"/>
      <c r="Q50" s="721">
        <v>548</v>
      </c>
    </row>
    <row r="51" spans="1:17" ht="14.45" customHeight="1" x14ac:dyDescent="0.2">
      <c r="A51" s="715" t="s">
        <v>4351</v>
      </c>
      <c r="B51" s="716" t="s">
        <v>4365</v>
      </c>
      <c r="C51" s="716" t="s">
        <v>3029</v>
      </c>
      <c r="D51" s="716" t="s">
        <v>4412</v>
      </c>
      <c r="E51" s="716" t="s">
        <v>4413</v>
      </c>
      <c r="F51" s="720">
        <v>3</v>
      </c>
      <c r="G51" s="720">
        <v>987</v>
      </c>
      <c r="H51" s="720"/>
      <c r="I51" s="720">
        <v>329</v>
      </c>
      <c r="J51" s="720"/>
      <c r="K51" s="720"/>
      <c r="L51" s="720"/>
      <c r="M51" s="720"/>
      <c r="N51" s="720">
        <v>1</v>
      </c>
      <c r="O51" s="720">
        <v>330</v>
      </c>
      <c r="P51" s="745"/>
      <c r="Q51" s="721">
        <v>330</v>
      </c>
    </row>
    <row r="52" spans="1:17" ht="14.45" customHeight="1" x14ac:dyDescent="0.2">
      <c r="A52" s="715" t="s">
        <v>4351</v>
      </c>
      <c r="B52" s="716" t="s">
        <v>4365</v>
      </c>
      <c r="C52" s="716" t="s">
        <v>3029</v>
      </c>
      <c r="D52" s="716" t="s">
        <v>4414</v>
      </c>
      <c r="E52" s="716" t="s">
        <v>4415</v>
      </c>
      <c r="F52" s="720"/>
      <c r="G52" s="720"/>
      <c r="H52" s="720"/>
      <c r="I52" s="720"/>
      <c r="J52" s="720"/>
      <c r="K52" s="720"/>
      <c r="L52" s="720"/>
      <c r="M52" s="720"/>
      <c r="N52" s="720">
        <v>1</v>
      </c>
      <c r="O52" s="720">
        <v>754</v>
      </c>
      <c r="P52" s="745"/>
      <c r="Q52" s="721">
        <v>754</v>
      </c>
    </row>
    <row r="53" spans="1:17" ht="14.45" customHeight="1" x14ac:dyDescent="0.2">
      <c r="A53" s="715" t="s">
        <v>4351</v>
      </c>
      <c r="B53" s="716" t="s">
        <v>4365</v>
      </c>
      <c r="C53" s="716" t="s">
        <v>3029</v>
      </c>
      <c r="D53" s="716" t="s">
        <v>4416</v>
      </c>
      <c r="E53" s="716" t="s">
        <v>4417</v>
      </c>
      <c r="F53" s="720">
        <v>4</v>
      </c>
      <c r="G53" s="720">
        <v>928</v>
      </c>
      <c r="H53" s="720">
        <v>4</v>
      </c>
      <c r="I53" s="720">
        <v>232</v>
      </c>
      <c r="J53" s="720">
        <v>1</v>
      </c>
      <c r="K53" s="720">
        <v>232</v>
      </c>
      <c r="L53" s="720">
        <v>1</v>
      </c>
      <c r="M53" s="720">
        <v>232</v>
      </c>
      <c r="N53" s="720">
        <v>2</v>
      </c>
      <c r="O53" s="720">
        <v>464</v>
      </c>
      <c r="P53" s="745">
        <v>2</v>
      </c>
      <c r="Q53" s="721">
        <v>232</v>
      </c>
    </row>
    <row r="54" spans="1:17" ht="14.45" customHeight="1" x14ac:dyDescent="0.2">
      <c r="A54" s="715" t="s">
        <v>4351</v>
      </c>
      <c r="B54" s="716" t="s">
        <v>4365</v>
      </c>
      <c r="C54" s="716" t="s">
        <v>3029</v>
      </c>
      <c r="D54" s="716" t="s">
        <v>4418</v>
      </c>
      <c r="E54" s="716" t="s">
        <v>4419</v>
      </c>
      <c r="F54" s="720">
        <v>1</v>
      </c>
      <c r="G54" s="720">
        <v>233</v>
      </c>
      <c r="H54" s="720">
        <v>0.5</v>
      </c>
      <c r="I54" s="720">
        <v>233</v>
      </c>
      <c r="J54" s="720">
        <v>2</v>
      </c>
      <c r="K54" s="720">
        <v>466</v>
      </c>
      <c r="L54" s="720">
        <v>1</v>
      </c>
      <c r="M54" s="720">
        <v>233</v>
      </c>
      <c r="N54" s="720"/>
      <c r="O54" s="720"/>
      <c r="P54" s="745"/>
      <c r="Q54" s="721"/>
    </row>
    <row r="55" spans="1:17" ht="14.45" customHeight="1" x14ac:dyDescent="0.2">
      <c r="A55" s="715" t="s">
        <v>4351</v>
      </c>
      <c r="B55" s="716" t="s">
        <v>4365</v>
      </c>
      <c r="C55" s="716" t="s">
        <v>3029</v>
      </c>
      <c r="D55" s="716" t="s">
        <v>4420</v>
      </c>
      <c r="E55" s="716" t="s">
        <v>4421</v>
      </c>
      <c r="F55" s="720"/>
      <c r="G55" s="720"/>
      <c r="H55" s="720"/>
      <c r="I55" s="720"/>
      <c r="J55" s="720">
        <v>6</v>
      </c>
      <c r="K55" s="720">
        <v>2460</v>
      </c>
      <c r="L55" s="720">
        <v>1</v>
      </c>
      <c r="M55" s="720">
        <v>410</v>
      </c>
      <c r="N55" s="720"/>
      <c r="O55" s="720"/>
      <c r="P55" s="745"/>
      <c r="Q55" s="721"/>
    </row>
    <row r="56" spans="1:17" ht="14.45" customHeight="1" x14ac:dyDescent="0.2">
      <c r="A56" s="715" t="s">
        <v>4351</v>
      </c>
      <c r="B56" s="716" t="s">
        <v>4365</v>
      </c>
      <c r="C56" s="716" t="s">
        <v>3029</v>
      </c>
      <c r="D56" s="716" t="s">
        <v>4422</v>
      </c>
      <c r="E56" s="716" t="s">
        <v>4423</v>
      </c>
      <c r="F56" s="720"/>
      <c r="G56" s="720"/>
      <c r="H56" s="720"/>
      <c r="I56" s="720"/>
      <c r="J56" s="720">
        <v>3</v>
      </c>
      <c r="K56" s="720">
        <v>1956</v>
      </c>
      <c r="L56" s="720">
        <v>1</v>
      </c>
      <c r="M56" s="720">
        <v>652</v>
      </c>
      <c r="N56" s="720">
        <v>1</v>
      </c>
      <c r="O56" s="720">
        <v>653</v>
      </c>
      <c r="P56" s="745">
        <v>0.33384458077709611</v>
      </c>
      <c r="Q56" s="721">
        <v>653</v>
      </c>
    </row>
    <row r="57" spans="1:17" ht="14.45" customHeight="1" x14ac:dyDescent="0.2">
      <c r="A57" s="715" t="s">
        <v>4351</v>
      </c>
      <c r="B57" s="716" t="s">
        <v>4365</v>
      </c>
      <c r="C57" s="716" t="s">
        <v>3029</v>
      </c>
      <c r="D57" s="716" t="s">
        <v>4424</v>
      </c>
      <c r="E57" s="716" t="s">
        <v>4425</v>
      </c>
      <c r="F57" s="720"/>
      <c r="G57" s="720"/>
      <c r="H57" s="720"/>
      <c r="I57" s="720"/>
      <c r="J57" s="720">
        <v>6</v>
      </c>
      <c r="K57" s="720">
        <v>3540</v>
      </c>
      <c r="L57" s="720">
        <v>1</v>
      </c>
      <c r="M57" s="720">
        <v>590</v>
      </c>
      <c r="N57" s="720"/>
      <c r="O57" s="720"/>
      <c r="P57" s="745"/>
      <c r="Q57" s="721"/>
    </row>
    <row r="58" spans="1:17" ht="14.45" customHeight="1" x14ac:dyDescent="0.2">
      <c r="A58" s="715" t="s">
        <v>4351</v>
      </c>
      <c r="B58" s="716" t="s">
        <v>4365</v>
      </c>
      <c r="C58" s="716" t="s">
        <v>3029</v>
      </c>
      <c r="D58" s="716" t="s">
        <v>4426</v>
      </c>
      <c r="E58" s="716" t="s">
        <v>4427</v>
      </c>
      <c r="F58" s="720">
        <v>3</v>
      </c>
      <c r="G58" s="720">
        <v>1161</v>
      </c>
      <c r="H58" s="720">
        <v>0.5</v>
      </c>
      <c r="I58" s="720">
        <v>387</v>
      </c>
      <c r="J58" s="720">
        <v>6</v>
      </c>
      <c r="K58" s="720">
        <v>2322</v>
      </c>
      <c r="L58" s="720">
        <v>1</v>
      </c>
      <c r="M58" s="720">
        <v>387</v>
      </c>
      <c r="N58" s="720">
        <v>3</v>
      </c>
      <c r="O58" s="720">
        <v>1164</v>
      </c>
      <c r="P58" s="745">
        <v>0.50129198966408273</v>
      </c>
      <c r="Q58" s="721">
        <v>388</v>
      </c>
    </row>
    <row r="59" spans="1:17" ht="14.45" customHeight="1" x14ac:dyDescent="0.2">
      <c r="A59" s="715" t="s">
        <v>4351</v>
      </c>
      <c r="B59" s="716" t="s">
        <v>4365</v>
      </c>
      <c r="C59" s="716" t="s">
        <v>3029</v>
      </c>
      <c r="D59" s="716" t="s">
        <v>4428</v>
      </c>
      <c r="E59" s="716" t="s">
        <v>4429</v>
      </c>
      <c r="F59" s="720">
        <v>3</v>
      </c>
      <c r="G59" s="720">
        <v>672</v>
      </c>
      <c r="H59" s="720"/>
      <c r="I59" s="720">
        <v>224</v>
      </c>
      <c r="J59" s="720"/>
      <c r="K59" s="720"/>
      <c r="L59" s="720"/>
      <c r="M59" s="720"/>
      <c r="N59" s="720">
        <v>1</v>
      </c>
      <c r="O59" s="720">
        <v>225</v>
      </c>
      <c r="P59" s="745"/>
      <c r="Q59" s="721">
        <v>225</v>
      </c>
    </row>
    <row r="60" spans="1:17" ht="14.45" customHeight="1" x14ac:dyDescent="0.2">
      <c r="A60" s="715" t="s">
        <v>4351</v>
      </c>
      <c r="B60" s="716" t="s">
        <v>4365</v>
      </c>
      <c r="C60" s="716" t="s">
        <v>3029</v>
      </c>
      <c r="D60" s="716" t="s">
        <v>4430</v>
      </c>
      <c r="E60" s="716" t="s">
        <v>4431</v>
      </c>
      <c r="F60" s="720"/>
      <c r="G60" s="720"/>
      <c r="H60" s="720"/>
      <c r="I60" s="720"/>
      <c r="J60" s="720"/>
      <c r="K60" s="720"/>
      <c r="L60" s="720"/>
      <c r="M60" s="720"/>
      <c r="N60" s="720">
        <v>1</v>
      </c>
      <c r="O60" s="720">
        <v>567</v>
      </c>
      <c r="P60" s="745"/>
      <c r="Q60" s="721">
        <v>567</v>
      </c>
    </row>
    <row r="61" spans="1:17" ht="14.45" customHeight="1" x14ac:dyDescent="0.2">
      <c r="A61" s="715" t="s">
        <v>4351</v>
      </c>
      <c r="B61" s="716" t="s">
        <v>4365</v>
      </c>
      <c r="C61" s="716" t="s">
        <v>3029</v>
      </c>
      <c r="D61" s="716" t="s">
        <v>4432</v>
      </c>
      <c r="E61" s="716" t="s">
        <v>4433</v>
      </c>
      <c r="F61" s="720">
        <v>86</v>
      </c>
      <c r="G61" s="720">
        <v>20984</v>
      </c>
      <c r="H61" s="720">
        <v>1.4576271186440677</v>
      </c>
      <c r="I61" s="720">
        <v>244</v>
      </c>
      <c r="J61" s="720">
        <v>59</v>
      </c>
      <c r="K61" s="720">
        <v>14396</v>
      </c>
      <c r="L61" s="720">
        <v>1</v>
      </c>
      <c r="M61" s="720">
        <v>244</v>
      </c>
      <c r="N61" s="720">
        <v>50</v>
      </c>
      <c r="O61" s="720">
        <v>12250</v>
      </c>
      <c r="P61" s="745">
        <v>0.85093081411503191</v>
      </c>
      <c r="Q61" s="721">
        <v>245</v>
      </c>
    </row>
    <row r="62" spans="1:17" ht="14.45" customHeight="1" x14ac:dyDescent="0.2">
      <c r="A62" s="715" t="s">
        <v>4351</v>
      </c>
      <c r="B62" s="716" t="s">
        <v>4365</v>
      </c>
      <c r="C62" s="716" t="s">
        <v>3029</v>
      </c>
      <c r="D62" s="716" t="s">
        <v>4434</v>
      </c>
      <c r="E62" s="716" t="s">
        <v>4435</v>
      </c>
      <c r="F62" s="720"/>
      <c r="G62" s="720"/>
      <c r="H62" s="720"/>
      <c r="I62" s="720"/>
      <c r="J62" s="720"/>
      <c r="K62" s="720"/>
      <c r="L62" s="720"/>
      <c r="M62" s="720"/>
      <c r="N62" s="720">
        <v>2</v>
      </c>
      <c r="O62" s="720">
        <v>406</v>
      </c>
      <c r="P62" s="745"/>
      <c r="Q62" s="721">
        <v>203</v>
      </c>
    </row>
    <row r="63" spans="1:17" ht="14.45" customHeight="1" x14ac:dyDescent="0.2">
      <c r="A63" s="715" t="s">
        <v>4351</v>
      </c>
      <c r="B63" s="716" t="s">
        <v>4365</v>
      </c>
      <c r="C63" s="716" t="s">
        <v>3029</v>
      </c>
      <c r="D63" s="716" t="s">
        <v>4436</v>
      </c>
      <c r="E63" s="716" t="s">
        <v>4437</v>
      </c>
      <c r="F63" s="720"/>
      <c r="G63" s="720"/>
      <c r="H63" s="720"/>
      <c r="I63" s="720"/>
      <c r="J63" s="720"/>
      <c r="K63" s="720"/>
      <c r="L63" s="720"/>
      <c r="M63" s="720"/>
      <c r="N63" s="720">
        <v>1</v>
      </c>
      <c r="O63" s="720">
        <v>468</v>
      </c>
      <c r="P63" s="745"/>
      <c r="Q63" s="721">
        <v>468</v>
      </c>
    </row>
    <row r="64" spans="1:17" ht="14.45" customHeight="1" x14ac:dyDescent="0.2">
      <c r="A64" s="715" t="s">
        <v>4351</v>
      </c>
      <c r="B64" s="716" t="s">
        <v>4365</v>
      </c>
      <c r="C64" s="716" t="s">
        <v>3029</v>
      </c>
      <c r="D64" s="716" t="s">
        <v>4438</v>
      </c>
      <c r="E64" s="716" t="s">
        <v>4439</v>
      </c>
      <c r="F64" s="720"/>
      <c r="G64" s="720"/>
      <c r="H64" s="720"/>
      <c r="I64" s="720"/>
      <c r="J64" s="720"/>
      <c r="K64" s="720"/>
      <c r="L64" s="720"/>
      <c r="M64" s="720"/>
      <c r="N64" s="720">
        <v>2</v>
      </c>
      <c r="O64" s="720">
        <v>1162</v>
      </c>
      <c r="P64" s="745"/>
      <c r="Q64" s="721">
        <v>581</v>
      </c>
    </row>
    <row r="65" spans="1:17" ht="14.45" customHeight="1" x14ac:dyDescent="0.2">
      <c r="A65" s="715" t="s">
        <v>4440</v>
      </c>
      <c r="B65" s="716" t="s">
        <v>4441</v>
      </c>
      <c r="C65" s="716" t="s">
        <v>3029</v>
      </c>
      <c r="D65" s="716" t="s">
        <v>4442</v>
      </c>
      <c r="E65" s="716" t="s">
        <v>4443</v>
      </c>
      <c r="F65" s="720">
        <v>435</v>
      </c>
      <c r="G65" s="720">
        <v>11745</v>
      </c>
      <c r="H65" s="720">
        <v>1.041869954759159</v>
      </c>
      <c r="I65" s="720">
        <v>27</v>
      </c>
      <c r="J65" s="720">
        <v>413</v>
      </c>
      <c r="K65" s="720">
        <v>11273</v>
      </c>
      <c r="L65" s="720">
        <v>1</v>
      </c>
      <c r="M65" s="720">
        <v>27.295399515738499</v>
      </c>
      <c r="N65" s="720">
        <v>436</v>
      </c>
      <c r="O65" s="720">
        <v>12208</v>
      </c>
      <c r="P65" s="745">
        <v>1.0829415417368935</v>
      </c>
      <c r="Q65" s="721">
        <v>28</v>
      </c>
    </row>
    <row r="66" spans="1:17" ht="14.45" customHeight="1" x14ac:dyDescent="0.2">
      <c r="A66" s="715" t="s">
        <v>4440</v>
      </c>
      <c r="B66" s="716" t="s">
        <v>4441</v>
      </c>
      <c r="C66" s="716" t="s">
        <v>3029</v>
      </c>
      <c r="D66" s="716" t="s">
        <v>4444</v>
      </c>
      <c r="E66" s="716" t="s">
        <v>4445</v>
      </c>
      <c r="F66" s="720">
        <v>546</v>
      </c>
      <c r="G66" s="720">
        <v>29484</v>
      </c>
      <c r="H66" s="720">
        <v>0.96466431095406358</v>
      </c>
      <c r="I66" s="720">
        <v>54</v>
      </c>
      <c r="J66" s="720">
        <v>566</v>
      </c>
      <c r="K66" s="720">
        <v>30564</v>
      </c>
      <c r="L66" s="720">
        <v>1</v>
      </c>
      <c r="M66" s="720">
        <v>54</v>
      </c>
      <c r="N66" s="720">
        <v>599</v>
      </c>
      <c r="O66" s="720">
        <v>32346</v>
      </c>
      <c r="P66" s="745">
        <v>1.058303886925795</v>
      </c>
      <c r="Q66" s="721">
        <v>54</v>
      </c>
    </row>
    <row r="67" spans="1:17" ht="14.45" customHeight="1" x14ac:dyDescent="0.2">
      <c r="A67" s="715" t="s">
        <v>4440</v>
      </c>
      <c r="B67" s="716" t="s">
        <v>4441</v>
      </c>
      <c r="C67" s="716" t="s">
        <v>3029</v>
      </c>
      <c r="D67" s="716" t="s">
        <v>4446</v>
      </c>
      <c r="E67" s="716" t="s">
        <v>4447</v>
      </c>
      <c r="F67" s="720">
        <v>1370</v>
      </c>
      <c r="G67" s="720">
        <v>32880</v>
      </c>
      <c r="H67" s="720">
        <v>0.98137535816618915</v>
      </c>
      <c r="I67" s="720">
        <v>24</v>
      </c>
      <c r="J67" s="720">
        <v>1396</v>
      </c>
      <c r="K67" s="720">
        <v>33504</v>
      </c>
      <c r="L67" s="720">
        <v>1</v>
      </c>
      <c r="M67" s="720">
        <v>24</v>
      </c>
      <c r="N67" s="720">
        <v>1481</v>
      </c>
      <c r="O67" s="720">
        <v>35544</v>
      </c>
      <c r="P67" s="745">
        <v>1.0608882521489971</v>
      </c>
      <c r="Q67" s="721">
        <v>24</v>
      </c>
    </row>
    <row r="68" spans="1:17" ht="14.45" customHeight="1" x14ac:dyDescent="0.2">
      <c r="A68" s="715" t="s">
        <v>4440</v>
      </c>
      <c r="B68" s="716" t="s">
        <v>4441</v>
      </c>
      <c r="C68" s="716" t="s">
        <v>3029</v>
      </c>
      <c r="D68" s="716" t="s">
        <v>4448</v>
      </c>
      <c r="E68" s="716" t="s">
        <v>4449</v>
      </c>
      <c r="F68" s="720">
        <v>1832</v>
      </c>
      <c r="G68" s="720">
        <v>49464</v>
      </c>
      <c r="H68" s="720">
        <v>1.0054884742041712</v>
      </c>
      <c r="I68" s="720">
        <v>27</v>
      </c>
      <c r="J68" s="720">
        <v>1822</v>
      </c>
      <c r="K68" s="720">
        <v>49194</v>
      </c>
      <c r="L68" s="720">
        <v>1</v>
      </c>
      <c r="M68" s="720">
        <v>27</v>
      </c>
      <c r="N68" s="720">
        <v>1919</v>
      </c>
      <c r="O68" s="720">
        <v>51813</v>
      </c>
      <c r="P68" s="745">
        <v>1.053238199780461</v>
      </c>
      <c r="Q68" s="721">
        <v>27</v>
      </c>
    </row>
    <row r="69" spans="1:17" ht="14.45" customHeight="1" x14ac:dyDescent="0.2">
      <c r="A69" s="715" t="s">
        <v>4440</v>
      </c>
      <c r="B69" s="716" t="s">
        <v>4441</v>
      </c>
      <c r="C69" s="716" t="s">
        <v>3029</v>
      </c>
      <c r="D69" s="716" t="s">
        <v>4450</v>
      </c>
      <c r="E69" s="716" t="s">
        <v>4451</v>
      </c>
      <c r="F69" s="720"/>
      <c r="G69" s="720"/>
      <c r="H69" s="720"/>
      <c r="I69" s="720"/>
      <c r="J69" s="720">
        <v>6</v>
      </c>
      <c r="K69" s="720">
        <v>342</v>
      </c>
      <c r="L69" s="720">
        <v>1</v>
      </c>
      <c r="M69" s="720">
        <v>57</v>
      </c>
      <c r="N69" s="720">
        <v>1</v>
      </c>
      <c r="O69" s="720">
        <v>57</v>
      </c>
      <c r="P69" s="745">
        <v>0.16666666666666666</v>
      </c>
      <c r="Q69" s="721">
        <v>57</v>
      </c>
    </row>
    <row r="70" spans="1:17" ht="14.45" customHeight="1" x14ac:dyDescent="0.2">
      <c r="A70" s="715" t="s">
        <v>4440</v>
      </c>
      <c r="B70" s="716" t="s">
        <v>4441</v>
      </c>
      <c r="C70" s="716" t="s">
        <v>3029</v>
      </c>
      <c r="D70" s="716" t="s">
        <v>4452</v>
      </c>
      <c r="E70" s="716" t="s">
        <v>4453</v>
      </c>
      <c r="F70" s="720">
        <v>396</v>
      </c>
      <c r="G70" s="720">
        <v>10692</v>
      </c>
      <c r="H70" s="720">
        <v>0.95883777239709445</v>
      </c>
      <c r="I70" s="720">
        <v>27</v>
      </c>
      <c r="J70" s="720">
        <v>413</v>
      </c>
      <c r="K70" s="720">
        <v>11151</v>
      </c>
      <c r="L70" s="720">
        <v>1</v>
      </c>
      <c r="M70" s="720">
        <v>27</v>
      </c>
      <c r="N70" s="720">
        <v>415</v>
      </c>
      <c r="O70" s="720">
        <v>11205</v>
      </c>
      <c r="P70" s="745">
        <v>1.0048426150121066</v>
      </c>
      <c r="Q70" s="721">
        <v>27</v>
      </c>
    </row>
    <row r="71" spans="1:17" ht="14.45" customHeight="1" x14ac:dyDescent="0.2">
      <c r="A71" s="715" t="s">
        <v>4440</v>
      </c>
      <c r="B71" s="716" t="s">
        <v>4441</v>
      </c>
      <c r="C71" s="716" t="s">
        <v>3029</v>
      </c>
      <c r="D71" s="716" t="s">
        <v>4454</v>
      </c>
      <c r="E71" s="716" t="s">
        <v>4455</v>
      </c>
      <c r="F71" s="720">
        <v>6250</v>
      </c>
      <c r="G71" s="720">
        <v>137500</v>
      </c>
      <c r="H71" s="720">
        <v>0.99682466035465211</v>
      </c>
      <c r="I71" s="720">
        <v>22</v>
      </c>
      <c r="J71" s="720">
        <v>6177</v>
      </c>
      <c r="K71" s="720">
        <v>137938</v>
      </c>
      <c r="L71" s="720">
        <v>1</v>
      </c>
      <c r="M71" s="720">
        <v>22.330904970050184</v>
      </c>
      <c r="N71" s="720">
        <v>6091</v>
      </c>
      <c r="O71" s="720">
        <v>140093</v>
      </c>
      <c r="P71" s="745">
        <v>1.0156229610404675</v>
      </c>
      <c r="Q71" s="721">
        <v>23</v>
      </c>
    </row>
    <row r="72" spans="1:17" ht="14.45" customHeight="1" x14ac:dyDescent="0.2">
      <c r="A72" s="715" t="s">
        <v>4440</v>
      </c>
      <c r="B72" s="716" t="s">
        <v>4441</v>
      </c>
      <c r="C72" s="716" t="s">
        <v>3029</v>
      </c>
      <c r="D72" s="716" t="s">
        <v>4456</v>
      </c>
      <c r="E72" s="716" t="s">
        <v>4457</v>
      </c>
      <c r="F72" s="720">
        <v>12</v>
      </c>
      <c r="G72" s="720">
        <v>816</v>
      </c>
      <c r="H72" s="720">
        <v>0.99633699633699635</v>
      </c>
      <c r="I72" s="720">
        <v>68</v>
      </c>
      <c r="J72" s="720">
        <v>12</v>
      </c>
      <c r="K72" s="720">
        <v>819</v>
      </c>
      <c r="L72" s="720">
        <v>1</v>
      </c>
      <c r="M72" s="720">
        <v>68.25</v>
      </c>
      <c r="N72" s="720">
        <v>12</v>
      </c>
      <c r="O72" s="720">
        <v>828</v>
      </c>
      <c r="P72" s="745">
        <v>1.0109890109890109</v>
      </c>
      <c r="Q72" s="721">
        <v>69</v>
      </c>
    </row>
    <row r="73" spans="1:17" ht="14.45" customHeight="1" x14ac:dyDescent="0.2">
      <c r="A73" s="715" t="s">
        <v>4440</v>
      </c>
      <c r="B73" s="716" t="s">
        <v>4441</v>
      </c>
      <c r="C73" s="716" t="s">
        <v>3029</v>
      </c>
      <c r="D73" s="716" t="s">
        <v>4458</v>
      </c>
      <c r="E73" s="716" t="s">
        <v>4459</v>
      </c>
      <c r="F73" s="720">
        <v>5712</v>
      </c>
      <c r="G73" s="720">
        <v>354144</v>
      </c>
      <c r="H73" s="720">
        <v>0.99877600979192172</v>
      </c>
      <c r="I73" s="720">
        <v>62</v>
      </c>
      <c r="J73" s="720">
        <v>5719</v>
      </c>
      <c r="K73" s="720">
        <v>354578</v>
      </c>
      <c r="L73" s="720">
        <v>1</v>
      </c>
      <c r="M73" s="720">
        <v>62</v>
      </c>
      <c r="N73" s="720">
        <v>5566</v>
      </c>
      <c r="O73" s="720">
        <v>345092</v>
      </c>
      <c r="P73" s="745">
        <v>0.97324707116628784</v>
      </c>
      <c r="Q73" s="721">
        <v>62</v>
      </c>
    </row>
    <row r="74" spans="1:17" ht="14.45" customHeight="1" x14ac:dyDescent="0.2">
      <c r="A74" s="715" t="s">
        <v>4440</v>
      </c>
      <c r="B74" s="716" t="s">
        <v>4441</v>
      </c>
      <c r="C74" s="716" t="s">
        <v>3029</v>
      </c>
      <c r="D74" s="716" t="s">
        <v>4460</v>
      </c>
      <c r="E74" s="716" t="s">
        <v>4461</v>
      </c>
      <c r="F74" s="720">
        <v>3</v>
      </c>
      <c r="G74" s="720">
        <v>1182</v>
      </c>
      <c r="H74" s="720">
        <v>3</v>
      </c>
      <c r="I74" s="720">
        <v>394</v>
      </c>
      <c r="J74" s="720">
        <v>1</v>
      </c>
      <c r="K74" s="720">
        <v>394</v>
      </c>
      <c r="L74" s="720">
        <v>1</v>
      </c>
      <c r="M74" s="720">
        <v>394</v>
      </c>
      <c r="N74" s="720">
        <v>1</v>
      </c>
      <c r="O74" s="720">
        <v>395</v>
      </c>
      <c r="P74" s="745">
        <v>1.0025380710659899</v>
      </c>
      <c r="Q74" s="721">
        <v>395</v>
      </c>
    </row>
    <row r="75" spans="1:17" ht="14.45" customHeight="1" x14ac:dyDescent="0.2">
      <c r="A75" s="715" t="s">
        <v>4440</v>
      </c>
      <c r="B75" s="716" t="s">
        <v>4441</v>
      </c>
      <c r="C75" s="716" t="s">
        <v>3029</v>
      </c>
      <c r="D75" s="716" t="s">
        <v>4462</v>
      </c>
      <c r="E75" s="716" t="s">
        <v>4463</v>
      </c>
      <c r="F75" s="720">
        <v>6</v>
      </c>
      <c r="G75" s="720">
        <v>492</v>
      </c>
      <c r="H75" s="720">
        <v>0.85268630849220106</v>
      </c>
      <c r="I75" s="720">
        <v>82</v>
      </c>
      <c r="J75" s="720">
        <v>7</v>
      </c>
      <c r="K75" s="720">
        <v>577</v>
      </c>
      <c r="L75" s="720">
        <v>1</v>
      </c>
      <c r="M75" s="720">
        <v>82.428571428571431</v>
      </c>
      <c r="N75" s="720">
        <v>7</v>
      </c>
      <c r="O75" s="720">
        <v>588</v>
      </c>
      <c r="P75" s="745">
        <v>1.0190641247833623</v>
      </c>
      <c r="Q75" s="721">
        <v>84</v>
      </c>
    </row>
    <row r="76" spans="1:17" ht="14.45" customHeight="1" x14ac:dyDescent="0.2">
      <c r="A76" s="715" t="s">
        <v>4440</v>
      </c>
      <c r="B76" s="716" t="s">
        <v>4441</v>
      </c>
      <c r="C76" s="716" t="s">
        <v>3029</v>
      </c>
      <c r="D76" s="716" t="s">
        <v>4464</v>
      </c>
      <c r="E76" s="716" t="s">
        <v>4465</v>
      </c>
      <c r="F76" s="720">
        <v>190</v>
      </c>
      <c r="G76" s="720">
        <v>187720</v>
      </c>
      <c r="H76" s="720">
        <v>1.4960629921259843</v>
      </c>
      <c r="I76" s="720">
        <v>988</v>
      </c>
      <c r="J76" s="720">
        <v>127</v>
      </c>
      <c r="K76" s="720">
        <v>125476</v>
      </c>
      <c r="L76" s="720">
        <v>1</v>
      </c>
      <c r="M76" s="720">
        <v>988</v>
      </c>
      <c r="N76" s="720">
        <v>178</v>
      </c>
      <c r="O76" s="720">
        <v>175864</v>
      </c>
      <c r="P76" s="745">
        <v>1.4015748031496063</v>
      </c>
      <c r="Q76" s="721">
        <v>988</v>
      </c>
    </row>
    <row r="77" spans="1:17" ht="14.45" customHeight="1" x14ac:dyDescent="0.2">
      <c r="A77" s="715" t="s">
        <v>4440</v>
      </c>
      <c r="B77" s="716" t="s">
        <v>4441</v>
      </c>
      <c r="C77" s="716" t="s">
        <v>3029</v>
      </c>
      <c r="D77" s="716" t="s">
        <v>4466</v>
      </c>
      <c r="E77" s="716" t="s">
        <v>4467</v>
      </c>
      <c r="F77" s="720">
        <v>1</v>
      </c>
      <c r="G77" s="720">
        <v>191</v>
      </c>
      <c r="H77" s="720">
        <v>1</v>
      </c>
      <c r="I77" s="720">
        <v>191</v>
      </c>
      <c r="J77" s="720">
        <v>1</v>
      </c>
      <c r="K77" s="720">
        <v>191</v>
      </c>
      <c r="L77" s="720">
        <v>1</v>
      </c>
      <c r="M77" s="720">
        <v>191</v>
      </c>
      <c r="N77" s="720"/>
      <c r="O77" s="720"/>
      <c r="P77" s="745"/>
      <c r="Q77" s="721"/>
    </row>
    <row r="78" spans="1:17" ht="14.45" customHeight="1" x14ac:dyDescent="0.2">
      <c r="A78" s="715" t="s">
        <v>4440</v>
      </c>
      <c r="B78" s="716" t="s">
        <v>4441</v>
      </c>
      <c r="C78" s="716" t="s">
        <v>3029</v>
      </c>
      <c r="D78" s="716" t="s">
        <v>4468</v>
      </c>
      <c r="E78" s="716" t="s">
        <v>4469</v>
      </c>
      <c r="F78" s="720">
        <v>18</v>
      </c>
      <c r="G78" s="720">
        <v>1476</v>
      </c>
      <c r="H78" s="720">
        <v>1.3846153846153846</v>
      </c>
      <c r="I78" s="720">
        <v>82</v>
      </c>
      <c r="J78" s="720">
        <v>13</v>
      </c>
      <c r="K78" s="720">
        <v>1066</v>
      </c>
      <c r="L78" s="720">
        <v>1</v>
      </c>
      <c r="M78" s="720">
        <v>82</v>
      </c>
      <c r="N78" s="720">
        <v>9</v>
      </c>
      <c r="O78" s="720">
        <v>738</v>
      </c>
      <c r="P78" s="745">
        <v>0.69230769230769229</v>
      </c>
      <c r="Q78" s="721">
        <v>82</v>
      </c>
    </row>
    <row r="79" spans="1:17" ht="14.45" customHeight="1" x14ac:dyDescent="0.2">
      <c r="A79" s="715" t="s">
        <v>4440</v>
      </c>
      <c r="B79" s="716" t="s">
        <v>4441</v>
      </c>
      <c r="C79" s="716" t="s">
        <v>3029</v>
      </c>
      <c r="D79" s="716" t="s">
        <v>4470</v>
      </c>
      <c r="E79" s="716" t="s">
        <v>4471</v>
      </c>
      <c r="F79" s="720">
        <v>12</v>
      </c>
      <c r="G79" s="720">
        <v>756</v>
      </c>
      <c r="H79" s="720">
        <v>0.66490765171503963</v>
      </c>
      <c r="I79" s="720">
        <v>63</v>
      </c>
      <c r="J79" s="720">
        <v>18</v>
      </c>
      <c r="K79" s="720">
        <v>1137</v>
      </c>
      <c r="L79" s="720">
        <v>1</v>
      </c>
      <c r="M79" s="720">
        <v>63.166666666666664</v>
      </c>
      <c r="N79" s="720">
        <v>10</v>
      </c>
      <c r="O79" s="720">
        <v>640</v>
      </c>
      <c r="P79" s="745">
        <v>0.56288478452066848</v>
      </c>
      <c r="Q79" s="721">
        <v>64</v>
      </c>
    </row>
    <row r="80" spans="1:17" ht="14.45" customHeight="1" x14ac:dyDescent="0.2">
      <c r="A80" s="715" t="s">
        <v>4440</v>
      </c>
      <c r="B80" s="716" t="s">
        <v>4441</v>
      </c>
      <c r="C80" s="716" t="s">
        <v>3029</v>
      </c>
      <c r="D80" s="716" t="s">
        <v>4472</v>
      </c>
      <c r="E80" s="716" t="s">
        <v>4473</v>
      </c>
      <c r="F80" s="720">
        <v>922</v>
      </c>
      <c r="G80" s="720">
        <v>15674</v>
      </c>
      <c r="H80" s="720">
        <v>0.95544041450777206</v>
      </c>
      <c r="I80" s="720">
        <v>17</v>
      </c>
      <c r="J80" s="720">
        <v>965</v>
      </c>
      <c r="K80" s="720">
        <v>16405</v>
      </c>
      <c r="L80" s="720">
        <v>1</v>
      </c>
      <c r="M80" s="720">
        <v>17</v>
      </c>
      <c r="N80" s="720">
        <v>973</v>
      </c>
      <c r="O80" s="720">
        <v>16541</v>
      </c>
      <c r="P80" s="745">
        <v>1.0082901554404144</v>
      </c>
      <c r="Q80" s="721">
        <v>17</v>
      </c>
    </row>
    <row r="81" spans="1:17" ht="14.45" customHeight="1" x14ac:dyDescent="0.2">
      <c r="A81" s="715" t="s">
        <v>4440</v>
      </c>
      <c r="B81" s="716" t="s">
        <v>4441</v>
      </c>
      <c r="C81" s="716" t="s">
        <v>3029</v>
      </c>
      <c r="D81" s="716" t="s">
        <v>4474</v>
      </c>
      <c r="E81" s="716" t="s">
        <v>4475</v>
      </c>
      <c r="F81" s="720"/>
      <c r="G81" s="720"/>
      <c r="H81" s="720"/>
      <c r="I81" s="720"/>
      <c r="J81" s="720"/>
      <c r="K81" s="720"/>
      <c r="L81" s="720"/>
      <c r="M81" s="720"/>
      <c r="N81" s="720">
        <v>1</v>
      </c>
      <c r="O81" s="720">
        <v>108</v>
      </c>
      <c r="P81" s="745"/>
      <c r="Q81" s="721">
        <v>108</v>
      </c>
    </row>
    <row r="82" spans="1:17" ht="14.45" customHeight="1" x14ac:dyDescent="0.2">
      <c r="A82" s="715" t="s">
        <v>4440</v>
      </c>
      <c r="B82" s="716" t="s">
        <v>4441</v>
      </c>
      <c r="C82" s="716" t="s">
        <v>3029</v>
      </c>
      <c r="D82" s="716" t="s">
        <v>4476</v>
      </c>
      <c r="E82" s="716" t="s">
        <v>4477</v>
      </c>
      <c r="F82" s="720">
        <v>1</v>
      </c>
      <c r="G82" s="720">
        <v>64</v>
      </c>
      <c r="H82" s="720">
        <v>0.25</v>
      </c>
      <c r="I82" s="720">
        <v>64</v>
      </c>
      <c r="J82" s="720">
        <v>4</v>
      </c>
      <c r="K82" s="720">
        <v>256</v>
      </c>
      <c r="L82" s="720">
        <v>1</v>
      </c>
      <c r="M82" s="720">
        <v>64</v>
      </c>
      <c r="N82" s="720">
        <v>3</v>
      </c>
      <c r="O82" s="720">
        <v>195</v>
      </c>
      <c r="P82" s="745">
        <v>0.76171875</v>
      </c>
      <c r="Q82" s="721">
        <v>65</v>
      </c>
    </row>
    <row r="83" spans="1:17" ht="14.45" customHeight="1" x14ac:dyDescent="0.2">
      <c r="A83" s="715" t="s">
        <v>4440</v>
      </c>
      <c r="B83" s="716" t="s">
        <v>4441</v>
      </c>
      <c r="C83" s="716" t="s">
        <v>3029</v>
      </c>
      <c r="D83" s="716" t="s">
        <v>4478</v>
      </c>
      <c r="E83" s="716" t="s">
        <v>4479</v>
      </c>
      <c r="F83" s="720">
        <v>7</v>
      </c>
      <c r="G83" s="720">
        <v>329</v>
      </c>
      <c r="H83" s="720">
        <v>1.1666666666666667</v>
      </c>
      <c r="I83" s="720">
        <v>47</v>
      </c>
      <c r="J83" s="720">
        <v>6</v>
      </c>
      <c r="K83" s="720">
        <v>282</v>
      </c>
      <c r="L83" s="720">
        <v>1</v>
      </c>
      <c r="M83" s="720">
        <v>47</v>
      </c>
      <c r="N83" s="720">
        <v>6</v>
      </c>
      <c r="O83" s="720">
        <v>282</v>
      </c>
      <c r="P83" s="745">
        <v>1</v>
      </c>
      <c r="Q83" s="721">
        <v>47</v>
      </c>
    </row>
    <row r="84" spans="1:17" ht="14.45" customHeight="1" x14ac:dyDescent="0.2">
      <c r="A84" s="715" t="s">
        <v>4440</v>
      </c>
      <c r="B84" s="716" t="s">
        <v>4441</v>
      </c>
      <c r="C84" s="716" t="s">
        <v>3029</v>
      </c>
      <c r="D84" s="716" t="s">
        <v>4480</v>
      </c>
      <c r="E84" s="716" t="s">
        <v>4481</v>
      </c>
      <c r="F84" s="720">
        <v>1</v>
      </c>
      <c r="G84" s="720">
        <v>60</v>
      </c>
      <c r="H84" s="720"/>
      <c r="I84" s="720">
        <v>60</v>
      </c>
      <c r="J84" s="720"/>
      <c r="K84" s="720"/>
      <c r="L84" s="720"/>
      <c r="M84" s="720"/>
      <c r="N84" s="720">
        <v>1</v>
      </c>
      <c r="O84" s="720">
        <v>61</v>
      </c>
      <c r="P84" s="745"/>
      <c r="Q84" s="721">
        <v>61</v>
      </c>
    </row>
    <row r="85" spans="1:17" ht="14.45" customHeight="1" x14ac:dyDescent="0.2">
      <c r="A85" s="715" t="s">
        <v>4440</v>
      </c>
      <c r="B85" s="716" t="s">
        <v>4441</v>
      </c>
      <c r="C85" s="716" t="s">
        <v>3029</v>
      </c>
      <c r="D85" s="716" t="s">
        <v>4482</v>
      </c>
      <c r="E85" s="716" t="s">
        <v>4483</v>
      </c>
      <c r="F85" s="720"/>
      <c r="G85" s="720"/>
      <c r="H85" s="720"/>
      <c r="I85" s="720"/>
      <c r="J85" s="720"/>
      <c r="K85" s="720"/>
      <c r="L85" s="720"/>
      <c r="M85" s="720"/>
      <c r="N85" s="720">
        <v>1</v>
      </c>
      <c r="O85" s="720">
        <v>61</v>
      </c>
      <c r="P85" s="745"/>
      <c r="Q85" s="721">
        <v>61</v>
      </c>
    </row>
    <row r="86" spans="1:17" ht="14.45" customHeight="1" x14ac:dyDescent="0.2">
      <c r="A86" s="715" t="s">
        <v>4440</v>
      </c>
      <c r="B86" s="716" t="s">
        <v>4441</v>
      </c>
      <c r="C86" s="716" t="s">
        <v>3029</v>
      </c>
      <c r="D86" s="716" t="s">
        <v>4484</v>
      </c>
      <c r="E86" s="716" t="s">
        <v>4485</v>
      </c>
      <c r="F86" s="720">
        <v>2</v>
      </c>
      <c r="G86" s="720">
        <v>38</v>
      </c>
      <c r="H86" s="720">
        <v>2</v>
      </c>
      <c r="I86" s="720">
        <v>19</v>
      </c>
      <c r="J86" s="720">
        <v>1</v>
      </c>
      <c r="K86" s="720">
        <v>19</v>
      </c>
      <c r="L86" s="720">
        <v>1</v>
      </c>
      <c r="M86" s="720">
        <v>19</v>
      </c>
      <c r="N86" s="720"/>
      <c r="O86" s="720"/>
      <c r="P86" s="745"/>
      <c r="Q86" s="721"/>
    </row>
    <row r="87" spans="1:17" ht="14.45" customHeight="1" x14ac:dyDescent="0.2">
      <c r="A87" s="715" t="s">
        <v>4440</v>
      </c>
      <c r="B87" s="716" t="s">
        <v>4441</v>
      </c>
      <c r="C87" s="716" t="s">
        <v>3029</v>
      </c>
      <c r="D87" s="716" t="s">
        <v>4486</v>
      </c>
      <c r="E87" s="716" t="s">
        <v>4487</v>
      </c>
      <c r="F87" s="720">
        <v>5</v>
      </c>
      <c r="G87" s="720">
        <v>2320</v>
      </c>
      <c r="H87" s="720">
        <v>0.625</v>
      </c>
      <c r="I87" s="720">
        <v>464</v>
      </c>
      <c r="J87" s="720">
        <v>8</v>
      </c>
      <c r="K87" s="720">
        <v>3712</v>
      </c>
      <c r="L87" s="720">
        <v>1</v>
      </c>
      <c r="M87" s="720">
        <v>464</v>
      </c>
      <c r="N87" s="720">
        <v>5</v>
      </c>
      <c r="O87" s="720">
        <v>2320</v>
      </c>
      <c r="P87" s="745">
        <v>0.625</v>
      </c>
      <c r="Q87" s="721">
        <v>464</v>
      </c>
    </row>
    <row r="88" spans="1:17" ht="14.45" customHeight="1" x14ac:dyDescent="0.2">
      <c r="A88" s="715" t="s">
        <v>4440</v>
      </c>
      <c r="B88" s="716" t="s">
        <v>4441</v>
      </c>
      <c r="C88" s="716" t="s">
        <v>3029</v>
      </c>
      <c r="D88" s="716" t="s">
        <v>4488</v>
      </c>
      <c r="E88" s="716" t="s">
        <v>4489</v>
      </c>
      <c r="F88" s="720">
        <v>141</v>
      </c>
      <c r="G88" s="720">
        <v>120273</v>
      </c>
      <c r="H88" s="720">
        <v>1.1848739495798319</v>
      </c>
      <c r="I88" s="720">
        <v>853</v>
      </c>
      <c r="J88" s="720">
        <v>119</v>
      </c>
      <c r="K88" s="720">
        <v>101507</v>
      </c>
      <c r="L88" s="720">
        <v>1</v>
      </c>
      <c r="M88" s="720">
        <v>853</v>
      </c>
      <c r="N88" s="720">
        <v>173</v>
      </c>
      <c r="O88" s="720">
        <v>147742</v>
      </c>
      <c r="P88" s="745">
        <v>1.4554858285635472</v>
      </c>
      <c r="Q88" s="721">
        <v>854</v>
      </c>
    </row>
    <row r="89" spans="1:17" ht="14.45" customHeight="1" x14ac:dyDescent="0.2">
      <c r="A89" s="715" t="s">
        <v>4440</v>
      </c>
      <c r="B89" s="716" t="s">
        <v>4441</v>
      </c>
      <c r="C89" s="716" t="s">
        <v>3029</v>
      </c>
      <c r="D89" s="716" t="s">
        <v>4490</v>
      </c>
      <c r="E89" s="716" t="s">
        <v>4491</v>
      </c>
      <c r="F89" s="720">
        <v>24</v>
      </c>
      <c r="G89" s="720">
        <v>4488</v>
      </c>
      <c r="H89" s="720">
        <v>1.2</v>
      </c>
      <c r="I89" s="720">
        <v>187</v>
      </c>
      <c r="J89" s="720">
        <v>20</v>
      </c>
      <c r="K89" s="720">
        <v>3740</v>
      </c>
      <c r="L89" s="720">
        <v>1</v>
      </c>
      <c r="M89" s="720">
        <v>187</v>
      </c>
      <c r="N89" s="720">
        <v>30</v>
      </c>
      <c r="O89" s="720">
        <v>5640</v>
      </c>
      <c r="P89" s="745">
        <v>1.5080213903743316</v>
      </c>
      <c r="Q89" s="721">
        <v>188</v>
      </c>
    </row>
    <row r="90" spans="1:17" ht="14.45" customHeight="1" x14ac:dyDescent="0.2">
      <c r="A90" s="715" t="s">
        <v>4440</v>
      </c>
      <c r="B90" s="716" t="s">
        <v>4441</v>
      </c>
      <c r="C90" s="716" t="s">
        <v>3029</v>
      </c>
      <c r="D90" s="716" t="s">
        <v>4492</v>
      </c>
      <c r="E90" s="716" t="s">
        <v>4493</v>
      </c>
      <c r="F90" s="720">
        <v>1</v>
      </c>
      <c r="G90" s="720">
        <v>167</v>
      </c>
      <c r="H90" s="720">
        <v>1</v>
      </c>
      <c r="I90" s="720">
        <v>167</v>
      </c>
      <c r="J90" s="720">
        <v>1</v>
      </c>
      <c r="K90" s="720">
        <v>167</v>
      </c>
      <c r="L90" s="720">
        <v>1</v>
      </c>
      <c r="M90" s="720">
        <v>167</v>
      </c>
      <c r="N90" s="720"/>
      <c r="O90" s="720"/>
      <c r="P90" s="745"/>
      <c r="Q90" s="721"/>
    </row>
    <row r="91" spans="1:17" ht="14.45" customHeight="1" x14ac:dyDescent="0.2">
      <c r="A91" s="715" t="s">
        <v>4440</v>
      </c>
      <c r="B91" s="716" t="s">
        <v>4441</v>
      </c>
      <c r="C91" s="716" t="s">
        <v>3029</v>
      </c>
      <c r="D91" s="716" t="s">
        <v>4494</v>
      </c>
      <c r="E91" s="716" t="s">
        <v>4495</v>
      </c>
      <c r="F91" s="720">
        <v>1</v>
      </c>
      <c r="G91" s="720">
        <v>352</v>
      </c>
      <c r="H91" s="720">
        <v>1</v>
      </c>
      <c r="I91" s="720">
        <v>352</v>
      </c>
      <c r="J91" s="720">
        <v>1</v>
      </c>
      <c r="K91" s="720">
        <v>352</v>
      </c>
      <c r="L91" s="720">
        <v>1</v>
      </c>
      <c r="M91" s="720">
        <v>352</v>
      </c>
      <c r="N91" s="720"/>
      <c r="O91" s="720"/>
      <c r="P91" s="745"/>
      <c r="Q91" s="721"/>
    </row>
    <row r="92" spans="1:17" ht="14.45" customHeight="1" x14ac:dyDescent="0.2">
      <c r="A92" s="715" t="s">
        <v>4440</v>
      </c>
      <c r="B92" s="716" t="s">
        <v>4441</v>
      </c>
      <c r="C92" s="716" t="s">
        <v>3029</v>
      </c>
      <c r="D92" s="716" t="s">
        <v>4496</v>
      </c>
      <c r="E92" s="716" t="s">
        <v>4497</v>
      </c>
      <c r="F92" s="720">
        <v>1</v>
      </c>
      <c r="G92" s="720">
        <v>352</v>
      </c>
      <c r="H92" s="720">
        <v>1</v>
      </c>
      <c r="I92" s="720">
        <v>352</v>
      </c>
      <c r="J92" s="720">
        <v>1</v>
      </c>
      <c r="K92" s="720">
        <v>352</v>
      </c>
      <c r="L92" s="720">
        <v>1</v>
      </c>
      <c r="M92" s="720">
        <v>352</v>
      </c>
      <c r="N92" s="720"/>
      <c r="O92" s="720"/>
      <c r="P92" s="745"/>
      <c r="Q92" s="721"/>
    </row>
    <row r="93" spans="1:17" ht="14.45" customHeight="1" x14ac:dyDescent="0.2">
      <c r="A93" s="715" t="s">
        <v>4440</v>
      </c>
      <c r="B93" s="716" t="s">
        <v>4441</v>
      </c>
      <c r="C93" s="716" t="s">
        <v>3029</v>
      </c>
      <c r="D93" s="716" t="s">
        <v>4498</v>
      </c>
      <c r="E93" s="716" t="s">
        <v>4499</v>
      </c>
      <c r="F93" s="720">
        <v>2</v>
      </c>
      <c r="G93" s="720">
        <v>2444</v>
      </c>
      <c r="H93" s="720">
        <v>0.66612155900790404</v>
      </c>
      <c r="I93" s="720">
        <v>1222</v>
      </c>
      <c r="J93" s="720">
        <v>3</v>
      </c>
      <c r="K93" s="720">
        <v>3669</v>
      </c>
      <c r="L93" s="720">
        <v>1</v>
      </c>
      <c r="M93" s="720">
        <v>1223</v>
      </c>
      <c r="N93" s="720">
        <v>3</v>
      </c>
      <c r="O93" s="720">
        <v>3681</v>
      </c>
      <c r="P93" s="745">
        <v>1.0032706459525755</v>
      </c>
      <c r="Q93" s="721">
        <v>1227</v>
      </c>
    </row>
    <row r="94" spans="1:17" ht="14.45" customHeight="1" x14ac:dyDescent="0.2">
      <c r="A94" s="715" t="s">
        <v>4440</v>
      </c>
      <c r="B94" s="716" t="s">
        <v>4441</v>
      </c>
      <c r="C94" s="716" t="s">
        <v>3029</v>
      </c>
      <c r="D94" s="716" t="s">
        <v>4500</v>
      </c>
      <c r="E94" s="716" t="s">
        <v>4501</v>
      </c>
      <c r="F94" s="720">
        <v>678</v>
      </c>
      <c r="G94" s="720">
        <v>534264</v>
      </c>
      <c r="H94" s="720">
        <v>0.66759300448340841</v>
      </c>
      <c r="I94" s="720">
        <v>788</v>
      </c>
      <c r="J94" s="720">
        <v>1016</v>
      </c>
      <c r="K94" s="720">
        <v>800284</v>
      </c>
      <c r="L94" s="720">
        <v>1</v>
      </c>
      <c r="M94" s="720">
        <v>787.68110236220468</v>
      </c>
      <c r="N94" s="720">
        <v>977</v>
      </c>
      <c r="O94" s="720">
        <v>770853</v>
      </c>
      <c r="P94" s="745">
        <v>0.96322430537159309</v>
      </c>
      <c r="Q94" s="721">
        <v>789</v>
      </c>
    </row>
    <row r="95" spans="1:17" ht="14.45" customHeight="1" x14ac:dyDescent="0.2">
      <c r="A95" s="715" t="s">
        <v>4440</v>
      </c>
      <c r="B95" s="716" t="s">
        <v>4441</v>
      </c>
      <c r="C95" s="716" t="s">
        <v>3029</v>
      </c>
      <c r="D95" s="716" t="s">
        <v>4502</v>
      </c>
      <c r="E95" s="716" t="s">
        <v>4503</v>
      </c>
      <c r="F95" s="720">
        <v>3</v>
      </c>
      <c r="G95" s="720">
        <v>567</v>
      </c>
      <c r="H95" s="720"/>
      <c r="I95" s="720">
        <v>189</v>
      </c>
      <c r="J95" s="720"/>
      <c r="K95" s="720"/>
      <c r="L95" s="720"/>
      <c r="M95" s="720"/>
      <c r="N95" s="720"/>
      <c r="O95" s="720"/>
      <c r="P95" s="745"/>
      <c r="Q95" s="721"/>
    </row>
    <row r="96" spans="1:17" ht="14.45" customHeight="1" x14ac:dyDescent="0.2">
      <c r="A96" s="715" t="s">
        <v>4440</v>
      </c>
      <c r="B96" s="716" t="s">
        <v>4441</v>
      </c>
      <c r="C96" s="716" t="s">
        <v>3029</v>
      </c>
      <c r="D96" s="716" t="s">
        <v>4504</v>
      </c>
      <c r="E96" s="716" t="s">
        <v>4505</v>
      </c>
      <c r="F96" s="720">
        <v>2</v>
      </c>
      <c r="G96" s="720">
        <v>358</v>
      </c>
      <c r="H96" s="720"/>
      <c r="I96" s="720">
        <v>179</v>
      </c>
      <c r="J96" s="720"/>
      <c r="K96" s="720"/>
      <c r="L96" s="720"/>
      <c r="M96" s="720"/>
      <c r="N96" s="720"/>
      <c r="O96" s="720"/>
      <c r="P96" s="745"/>
      <c r="Q96" s="721"/>
    </row>
    <row r="97" spans="1:17" ht="14.45" customHeight="1" x14ac:dyDescent="0.2">
      <c r="A97" s="715" t="s">
        <v>4440</v>
      </c>
      <c r="B97" s="716" t="s">
        <v>4441</v>
      </c>
      <c r="C97" s="716" t="s">
        <v>3029</v>
      </c>
      <c r="D97" s="716" t="s">
        <v>4506</v>
      </c>
      <c r="E97" s="716" t="s">
        <v>4507</v>
      </c>
      <c r="F97" s="720">
        <v>2</v>
      </c>
      <c r="G97" s="720">
        <v>458</v>
      </c>
      <c r="H97" s="720">
        <v>2</v>
      </c>
      <c r="I97" s="720">
        <v>229</v>
      </c>
      <c r="J97" s="720">
        <v>1</v>
      </c>
      <c r="K97" s="720">
        <v>229</v>
      </c>
      <c r="L97" s="720">
        <v>1</v>
      </c>
      <c r="M97" s="720">
        <v>229</v>
      </c>
      <c r="N97" s="720">
        <v>1</v>
      </c>
      <c r="O97" s="720">
        <v>229</v>
      </c>
      <c r="P97" s="745">
        <v>1</v>
      </c>
      <c r="Q97" s="721">
        <v>229</v>
      </c>
    </row>
    <row r="98" spans="1:17" ht="14.45" customHeight="1" x14ac:dyDescent="0.2">
      <c r="A98" s="715" t="s">
        <v>4440</v>
      </c>
      <c r="B98" s="716" t="s">
        <v>4441</v>
      </c>
      <c r="C98" s="716" t="s">
        <v>3029</v>
      </c>
      <c r="D98" s="716" t="s">
        <v>4508</v>
      </c>
      <c r="E98" s="716" t="s">
        <v>4509</v>
      </c>
      <c r="F98" s="720"/>
      <c r="G98" s="720"/>
      <c r="H98" s="720"/>
      <c r="I98" s="720"/>
      <c r="J98" s="720">
        <v>1</v>
      </c>
      <c r="K98" s="720">
        <v>462</v>
      </c>
      <c r="L98" s="720">
        <v>1</v>
      </c>
      <c r="M98" s="720">
        <v>462</v>
      </c>
      <c r="N98" s="720">
        <v>1</v>
      </c>
      <c r="O98" s="720">
        <v>463</v>
      </c>
      <c r="P98" s="745">
        <v>1.0021645021645023</v>
      </c>
      <c r="Q98" s="721">
        <v>463</v>
      </c>
    </row>
    <row r="99" spans="1:17" ht="14.45" customHeight="1" x14ac:dyDescent="0.2">
      <c r="A99" s="715" t="s">
        <v>4440</v>
      </c>
      <c r="B99" s="716" t="s">
        <v>4441</v>
      </c>
      <c r="C99" s="716" t="s">
        <v>3029</v>
      </c>
      <c r="D99" s="716" t="s">
        <v>4510</v>
      </c>
      <c r="E99" s="716" t="s">
        <v>4511</v>
      </c>
      <c r="F99" s="720"/>
      <c r="G99" s="720"/>
      <c r="H99" s="720"/>
      <c r="I99" s="720"/>
      <c r="J99" s="720"/>
      <c r="K99" s="720"/>
      <c r="L99" s="720"/>
      <c r="M99" s="720"/>
      <c r="N99" s="720">
        <v>2</v>
      </c>
      <c r="O99" s="720">
        <v>1126</v>
      </c>
      <c r="P99" s="745"/>
      <c r="Q99" s="721">
        <v>563</v>
      </c>
    </row>
    <row r="100" spans="1:17" ht="14.45" customHeight="1" x14ac:dyDescent="0.2">
      <c r="A100" s="715" t="s">
        <v>4440</v>
      </c>
      <c r="B100" s="716" t="s">
        <v>4441</v>
      </c>
      <c r="C100" s="716" t="s">
        <v>3029</v>
      </c>
      <c r="D100" s="716" t="s">
        <v>4512</v>
      </c>
      <c r="E100" s="716" t="s">
        <v>4513</v>
      </c>
      <c r="F100" s="720">
        <v>1</v>
      </c>
      <c r="G100" s="720">
        <v>172</v>
      </c>
      <c r="H100" s="720"/>
      <c r="I100" s="720">
        <v>172</v>
      </c>
      <c r="J100" s="720"/>
      <c r="K100" s="720"/>
      <c r="L100" s="720"/>
      <c r="M100" s="720"/>
      <c r="N100" s="720"/>
      <c r="O100" s="720"/>
      <c r="P100" s="745"/>
      <c r="Q100" s="721"/>
    </row>
    <row r="101" spans="1:17" ht="14.45" customHeight="1" x14ac:dyDescent="0.2">
      <c r="A101" s="715" t="s">
        <v>4440</v>
      </c>
      <c r="B101" s="716" t="s">
        <v>4441</v>
      </c>
      <c r="C101" s="716" t="s">
        <v>3029</v>
      </c>
      <c r="D101" s="716" t="s">
        <v>4514</v>
      </c>
      <c r="E101" s="716" t="s">
        <v>4515</v>
      </c>
      <c r="F101" s="720">
        <v>1</v>
      </c>
      <c r="G101" s="720">
        <v>133</v>
      </c>
      <c r="H101" s="720"/>
      <c r="I101" s="720">
        <v>133</v>
      </c>
      <c r="J101" s="720"/>
      <c r="K101" s="720"/>
      <c r="L101" s="720"/>
      <c r="M101" s="720"/>
      <c r="N101" s="720"/>
      <c r="O101" s="720"/>
      <c r="P101" s="745"/>
      <c r="Q101" s="721"/>
    </row>
    <row r="102" spans="1:17" ht="14.45" customHeight="1" x14ac:dyDescent="0.2">
      <c r="A102" s="715" t="s">
        <v>4440</v>
      </c>
      <c r="B102" s="716" t="s">
        <v>4441</v>
      </c>
      <c r="C102" s="716" t="s">
        <v>3029</v>
      </c>
      <c r="D102" s="716" t="s">
        <v>4516</v>
      </c>
      <c r="E102" s="716" t="s">
        <v>4517</v>
      </c>
      <c r="F102" s="720">
        <v>1</v>
      </c>
      <c r="G102" s="720">
        <v>179</v>
      </c>
      <c r="H102" s="720"/>
      <c r="I102" s="720">
        <v>179</v>
      </c>
      <c r="J102" s="720"/>
      <c r="K102" s="720"/>
      <c r="L102" s="720"/>
      <c r="M102" s="720"/>
      <c r="N102" s="720"/>
      <c r="O102" s="720"/>
      <c r="P102" s="745"/>
      <c r="Q102" s="721"/>
    </row>
    <row r="103" spans="1:17" ht="14.45" customHeight="1" x14ac:dyDescent="0.2">
      <c r="A103" s="715" t="s">
        <v>4440</v>
      </c>
      <c r="B103" s="716" t="s">
        <v>4441</v>
      </c>
      <c r="C103" s="716" t="s">
        <v>3029</v>
      </c>
      <c r="D103" s="716" t="s">
        <v>4518</v>
      </c>
      <c r="E103" s="716" t="s">
        <v>4519</v>
      </c>
      <c r="F103" s="720"/>
      <c r="G103" s="720"/>
      <c r="H103" s="720"/>
      <c r="I103" s="720"/>
      <c r="J103" s="720"/>
      <c r="K103" s="720"/>
      <c r="L103" s="720"/>
      <c r="M103" s="720"/>
      <c r="N103" s="720">
        <v>1</v>
      </c>
      <c r="O103" s="720">
        <v>942</v>
      </c>
      <c r="P103" s="745"/>
      <c r="Q103" s="721">
        <v>942</v>
      </c>
    </row>
    <row r="104" spans="1:17" ht="14.45" customHeight="1" x14ac:dyDescent="0.2">
      <c r="A104" s="715" t="s">
        <v>4440</v>
      </c>
      <c r="B104" s="716" t="s">
        <v>4441</v>
      </c>
      <c r="C104" s="716" t="s">
        <v>3029</v>
      </c>
      <c r="D104" s="716" t="s">
        <v>4520</v>
      </c>
      <c r="E104" s="716" t="s">
        <v>4521</v>
      </c>
      <c r="F104" s="720">
        <v>23</v>
      </c>
      <c r="G104" s="720">
        <v>2047</v>
      </c>
      <c r="H104" s="720">
        <v>0.47916666666666669</v>
      </c>
      <c r="I104" s="720">
        <v>89</v>
      </c>
      <c r="J104" s="720">
        <v>48</v>
      </c>
      <c r="K104" s="720">
        <v>4272</v>
      </c>
      <c r="L104" s="720">
        <v>1</v>
      </c>
      <c r="M104" s="720">
        <v>89</v>
      </c>
      <c r="N104" s="720">
        <v>20</v>
      </c>
      <c r="O104" s="720">
        <v>1780</v>
      </c>
      <c r="P104" s="745">
        <v>0.41666666666666669</v>
      </c>
      <c r="Q104" s="721">
        <v>89</v>
      </c>
    </row>
    <row r="105" spans="1:17" ht="14.45" customHeight="1" x14ac:dyDescent="0.2">
      <c r="A105" s="715" t="s">
        <v>4440</v>
      </c>
      <c r="B105" s="716" t="s">
        <v>4441</v>
      </c>
      <c r="C105" s="716" t="s">
        <v>3029</v>
      </c>
      <c r="D105" s="716" t="s">
        <v>4522</v>
      </c>
      <c r="E105" s="716" t="s">
        <v>4523</v>
      </c>
      <c r="F105" s="720">
        <v>6502</v>
      </c>
      <c r="G105" s="720">
        <v>195060</v>
      </c>
      <c r="H105" s="720">
        <v>1.0023123169415755</v>
      </c>
      <c r="I105" s="720">
        <v>30</v>
      </c>
      <c r="J105" s="720">
        <v>6487</v>
      </c>
      <c r="K105" s="720">
        <v>194610</v>
      </c>
      <c r="L105" s="720">
        <v>1</v>
      </c>
      <c r="M105" s="720">
        <v>30</v>
      </c>
      <c r="N105" s="720">
        <v>6322</v>
      </c>
      <c r="O105" s="720">
        <v>189660</v>
      </c>
      <c r="P105" s="745">
        <v>0.97456451364266994</v>
      </c>
      <c r="Q105" s="721">
        <v>30</v>
      </c>
    </row>
    <row r="106" spans="1:17" ht="14.45" customHeight="1" x14ac:dyDescent="0.2">
      <c r="A106" s="715" t="s">
        <v>4440</v>
      </c>
      <c r="B106" s="716" t="s">
        <v>4441</v>
      </c>
      <c r="C106" s="716" t="s">
        <v>3029</v>
      </c>
      <c r="D106" s="716" t="s">
        <v>4524</v>
      </c>
      <c r="E106" s="716" t="s">
        <v>4525</v>
      </c>
      <c r="F106" s="720">
        <v>1</v>
      </c>
      <c r="G106" s="720">
        <v>50</v>
      </c>
      <c r="H106" s="720"/>
      <c r="I106" s="720">
        <v>50</v>
      </c>
      <c r="J106" s="720"/>
      <c r="K106" s="720"/>
      <c r="L106" s="720"/>
      <c r="M106" s="720"/>
      <c r="N106" s="720">
        <v>1</v>
      </c>
      <c r="O106" s="720">
        <v>50</v>
      </c>
      <c r="P106" s="745"/>
      <c r="Q106" s="721">
        <v>50</v>
      </c>
    </row>
    <row r="107" spans="1:17" ht="14.45" customHeight="1" x14ac:dyDescent="0.2">
      <c r="A107" s="715" t="s">
        <v>4440</v>
      </c>
      <c r="B107" s="716" t="s">
        <v>4441</v>
      </c>
      <c r="C107" s="716" t="s">
        <v>3029</v>
      </c>
      <c r="D107" s="716" t="s">
        <v>4526</v>
      </c>
      <c r="E107" s="716" t="s">
        <v>4527</v>
      </c>
      <c r="F107" s="720">
        <v>615</v>
      </c>
      <c r="G107" s="720">
        <v>7380</v>
      </c>
      <c r="H107" s="720">
        <v>1.0472541507024267</v>
      </c>
      <c r="I107" s="720">
        <v>12</v>
      </c>
      <c r="J107" s="720">
        <v>574</v>
      </c>
      <c r="K107" s="720">
        <v>7047</v>
      </c>
      <c r="L107" s="720">
        <v>1</v>
      </c>
      <c r="M107" s="720">
        <v>12.277003484320558</v>
      </c>
      <c r="N107" s="720">
        <v>441</v>
      </c>
      <c r="O107" s="720">
        <v>5733</v>
      </c>
      <c r="P107" s="745">
        <v>0.81353767560664114</v>
      </c>
      <c r="Q107" s="721">
        <v>13</v>
      </c>
    </row>
    <row r="108" spans="1:17" ht="14.45" customHeight="1" x14ac:dyDescent="0.2">
      <c r="A108" s="715" t="s">
        <v>4440</v>
      </c>
      <c r="B108" s="716" t="s">
        <v>4441</v>
      </c>
      <c r="C108" s="716" t="s">
        <v>3029</v>
      </c>
      <c r="D108" s="716" t="s">
        <v>4528</v>
      </c>
      <c r="E108" s="716" t="s">
        <v>4529</v>
      </c>
      <c r="F108" s="720">
        <v>14</v>
      </c>
      <c r="G108" s="720">
        <v>2562</v>
      </c>
      <c r="H108" s="720">
        <v>1.1666666666666667</v>
      </c>
      <c r="I108" s="720">
        <v>183</v>
      </c>
      <c r="J108" s="720">
        <v>12</v>
      </c>
      <c r="K108" s="720">
        <v>2196</v>
      </c>
      <c r="L108" s="720">
        <v>1</v>
      </c>
      <c r="M108" s="720">
        <v>183</v>
      </c>
      <c r="N108" s="720">
        <v>9</v>
      </c>
      <c r="O108" s="720">
        <v>1656</v>
      </c>
      <c r="P108" s="745">
        <v>0.75409836065573765</v>
      </c>
      <c r="Q108" s="721">
        <v>184</v>
      </c>
    </row>
    <row r="109" spans="1:17" ht="14.45" customHeight="1" x14ac:dyDescent="0.2">
      <c r="A109" s="715" t="s">
        <v>4440</v>
      </c>
      <c r="B109" s="716" t="s">
        <v>4441</v>
      </c>
      <c r="C109" s="716" t="s">
        <v>3029</v>
      </c>
      <c r="D109" s="716" t="s">
        <v>4530</v>
      </c>
      <c r="E109" s="716" t="s">
        <v>4531</v>
      </c>
      <c r="F109" s="720">
        <v>20</v>
      </c>
      <c r="G109" s="720">
        <v>1460</v>
      </c>
      <c r="H109" s="720">
        <v>0.86956521739130432</v>
      </c>
      <c r="I109" s="720">
        <v>73</v>
      </c>
      <c r="J109" s="720">
        <v>23</v>
      </c>
      <c r="K109" s="720">
        <v>1679</v>
      </c>
      <c r="L109" s="720">
        <v>1</v>
      </c>
      <c r="M109" s="720">
        <v>73</v>
      </c>
      <c r="N109" s="720">
        <v>17</v>
      </c>
      <c r="O109" s="720">
        <v>1241</v>
      </c>
      <c r="P109" s="745">
        <v>0.73913043478260865</v>
      </c>
      <c r="Q109" s="721">
        <v>73</v>
      </c>
    </row>
    <row r="110" spans="1:17" ht="14.45" customHeight="1" x14ac:dyDescent="0.2">
      <c r="A110" s="715" t="s">
        <v>4440</v>
      </c>
      <c r="B110" s="716" t="s">
        <v>4441</v>
      </c>
      <c r="C110" s="716" t="s">
        <v>3029</v>
      </c>
      <c r="D110" s="716" t="s">
        <v>4532</v>
      </c>
      <c r="E110" s="716" t="s">
        <v>4533</v>
      </c>
      <c r="F110" s="720">
        <v>7</v>
      </c>
      <c r="G110" s="720">
        <v>1288</v>
      </c>
      <c r="H110" s="720">
        <v>1.75</v>
      </c>
      <c r="I110" s="720">
        <v>184</v>
      </c>
      <c r="J110" s="720">
        <v>4</v>
      </c>
      <c r="K110" s="720">
        <v>736</v>
      </c>
      <c r="L110" s="720">
        <v>1</v>
      </c>
      <c r="M110" s="720">
        <v>184</v>
      </c>
      <c r="N110" s="720">
        <v>2</v>
      </c>
      <c r="O110" s="720">
        <v>370</v>
      </c>
      <c r="P110" s="745">
        <v>0.50271739130434778</v>
      </c>
      <c r="Q110" s="721">
        <v>185</v>
      </c>
    </row>
    <row r="111" spans="1:17" ht="14.45" customHeight="1" x14ac:dyDescent="0.2">
      <c r="A111" s="715" t="s">
        <v>4440</v>
      </c>
      <c r="B111" s="716" t="s">
        <v>4441</v>
      </c>
      <c r="C111" s="716" t="s">
        <v>3029</v>
      </c>
      <c r="D111" s="716" t="s">
        <v>4534</v>
      </c>
      <c r="E111" s="716" t="s">
        <v>4535</v>
      </c>
      <c r="F111" s="720">
        <v>2255</v>
      </c>
      <c r="G111" s="720">
        <v>335995</v>
      </c>
      <c r="H111" s="720">
        <v>0.89306930693069309</v>
      </c>
      <c r="I111" s="720">
        <v>149</v>
      </c>
      <c r="J111" s="720">
        <v>2525</v>
      </c>
      <c r="K111" s="720">
        <v>376225</v>
      </c>
      <c r="L111" s="720">
        <v>1</v>
      </c>
      <c r="M111" s="720">
        <v>149</v>
      </c>
      <c r="N111" s="720">
        <v>2573</v>
      </c>
      <c r="O111" s="720">
        <v>385950</v>
      </c>
      <c r="P111" s="745">
        <v>1.0258488936141936</v>
      </c>
      <c r="Q111" s="721">
        <v>150</v>
      </c>
    </row>
    <row r="112" spans="1:17" ht="14.45" customHeight="1" x14ac:dyDescent="0.2">
      <c r="A112" s="715" t="s">
        <v>4440</v>
      </c>
      <c r="B112" s="716" t="s">
        <v>4441</v>
      </c>
      <c r="C112" s="716" t="s">
        <v>3029</v>
      </c>
      <c r="D112" s="716" t="s">
        <v>4536</v>
      </c>
      <c r="E112" s="716" t="s">
        <v>4537</v>
      </c>
      <c r="F112" s="720">
        <v>6639</v>
      </c>
      <c r="G112" s="720">
        <v>199170</v>
      </c>
      <c r="H112" s="720">
        <v>1.0089665653495441</v>
      </c>
      <c r="I112" s="720">
        <v>30</v>
      </c>
      <c r="J112" s="720">
        <v>6580</v>
      </c>
      <c r="K112" s="720">
        <v>197400</v>
      </c>
      <c r="L112" s="720">
        <v>1</v>
      </c>
      <c r="M112" s="720">
        <v>30</v>
      </c>
      <c r="N112" s="720">
        <v>6455</v>
      </c>
      <c r="O112" s="720">
        <v>193650</v>
      </c>
      <c r="P112" s="745">
        <v>0.98100303951367784</v>
      </c>
      <c r="Q112" s="721">
        <v>30</v>
      </c>
    </row>
    <row r="113" spans="1:17" ht="14.45" customHeight="1" x14ac:dyDescent="0.2">
      <c r="A113" s="715" t="s">
        <v>4440</v>
      </c>
      <c r="B113" s="716" t="s">
        <v>4441</v>
      </c>
      <c r="C113" s="716" t="s">
        <v>3029</v>
      </c>
      <c r="D113" s="716" t="s">
        <v>4538</v>
      </c>
      <c r="E113" s="716" t="s">
        <v>4539</v>
      </c>
      <c r="F113" s="720">
        <v>366</v>
      </c>
      <c r="G113" s="720">
        <v>11346</v>
      </c>
      <c r="H113" s="720">
        <v>0.91729323308270672</v>
      </c>
      <c r="I113" s="720">
        <v>31</v>
      </c>
      <c r="J113" s="720">
        <v>399</v>
      </c>
      <c r="K113" s="720">
        <v>12369</v>
      </c>
      <c r="L113" s="720">
        <v>1</v>
      </c>
      <c r="M113" s="720">
        <v>31</v>
      </c>
      <c r="N113" s="720">
        <v>383</v>
      </c>
      <c r="O113" s="720">
        <v>11873</v>
      </c>
      <c r="P113" s="745">
        <v>0.95989974937343359</v>
      </c>
      <c r="Q113" s="721">
        <v>31</v>
      </c>
    </row>
    <row r="114" spans="1:17" ht="14.45" customHeight="1" x14ac:dyDescent="0.2">
      <c r="A114" s="715" t="s">
        <v>4440</v>
      </c>
      <c r="B114" s="716" t="s">
        <v>4441</v>
      </c>
      <c r="C114" s="716" t="s">
        <v>3029</v>
      </c>
      <c r="D114" s="716" t="s">
        <v>4540</v>
      </c>
      <c r="E114" s="716" t="s">
        <v>4541</v>
      </c>
      <c r="F114" s="720">
        <v>403</v>
      </c>
      <c r="G114" s="720">
        <v>10881</v>
      </c>
      <c r="H114" s="720">
        <v>1.0441416370789751</v>
      </c>
      <c r="I114" s="720">
        <v>27</v>
      </c>
      <c r="J114" s="720">
        <v>382</v>
      </c>
      <c r="K114" s="720">
        <v>10421</v>
      </c>
      <c r="L114" s="720">
        <v>1</v>
      </c>
      <c r="M114" s="720">
        <v>27.280104712041886</v>
      </c>
      <c r="N114" s="720">
        <v>389</v>
      </c>
      <c r="O114" s="720">
        <v>10892</v>
      </c>
      <c r="P114" s="745">
        <v>1.0451971979656463</v>
      </c>
      <c r="Q114" s="721">
        <v>28</v>
      </c>
    </row>
    <row r="115" spans="1:17" ht="14.45" customHeight="1" x14ac:dyDescent="0.2">
      <c r="A115" s="715" t="s">
        <v>4440</v>
      </c>
      <c r="B115" s="716" t="s">
        <v>4441</v>
      </c>
      <c r="C115" s="716" t="s">
        <v>3029</v>
      </c>
      <c r="D115" s="716" t="s">
        <v>4542</v>
      </c>
      <c r="E115" s="716" t="s">
        <v>4543</v>
      </c>
      <c r="F115" s="720">
        <v>4</v>
      </c>
      <c r="G115" s="720">
        <v>1024</v>
      </c>
      <c r="H115" s="720">
        <v>0.5714285714285714</v>
      </c>
      <c r="I115" s="720">
        <v>256</v>
      </c>
      <c r="J115" s="720">
        <v>7</v>
      </c>
      <c r="K115" s="720">
        <v>1792</v>
      </c>
      <c r="L115" s="720">
        <v>1</v>
      </c>
      <c r="M115" s="720">
        <v>256</v>
      </c>
      <c r="N115" s="720">
        <v>4</v>
      </c>
      <c r="O115" s="720">
        <v>1028</v>
      </c>
      <c r="P115" s="745">
        <v>0.5736607142857143</v>
      </c>
      <c r="Q115" s="721">
        <v>257</v>
      </c>
    </row>
    <row r="116" spans="1:17" ht="14.45" customHeight="1" x14ac:dyDescent="0.2">
      <c r="A116" s="715" t="s">
        <v>4440</v>
      </c>
      <c r="B116" s="716" t="s">
        <v>4441</v>
      </c>
      <c r="C116" s="716" t="s">
        <v>3029</v>
      </c>
      <c r="D116" s="716" t="s">
        <v>4544</v>
      </c>
      <c r="E116" s="716" t="s">
        <v>4545</v>
      </c>
      <c r="F116" s="720">
        <v>1</v>
      </c>
      <c r="G116" s="720">
        <v>163</v>
      </c>
      <c r="H116" s="720">
        <v>1</v>
      </c>
      <c r="I116" s="720">
        <v>163</v>
      </c>
      <c r="J116" s="720">
        <v>1</v>
      </c>
      <c r="K116" s="720">
        <v>163</v>
      </c>
      <c r="L116" s="720">
        <v>1</v>
      </c>
      <c r="M116" s="720">
        <v>163</v>
      </c>
      <c r="N116" s="720"/>
      <c r="O116" s="720"/>
      <c r="P116" s="745"/>
      <c r="Q116" s="721"/>
    </row>
    <row r="117" spans="1:17" ht="14.45" customHeight="1" x14ac:dyDescent="0.2">
      <c r="A117" s="715" t="s">
        <v>4440</v>
      </c>
      <c r="B117" s="716" t="s">
        <v>4441</v>
      </c>
      <c r="C117" s="716" t="s">
        <v>3029</v>
      </c>
      <c r="D117" s="716" t="s">
        <v>4546</v>
      </c>
      <c r="E117" s="716" t="s">
        <v>4547</v>
      </c>
      <c r="F117" s="720">
        <v>12</v>
      </c>
      <c r="G117" s="720">
        <v>264</v>
      </c>
      <c r="H117" s="720">
        <v>1.7032258064516128</v>
      </c>
      <c r="I117" s="720">
        <v>22</v>
      </c>
      <c r="J117" s="720">
        <v>7</v>
      </c>
      <c r="K117" s="720">
        <v>155</v>
      </c>
      <c r="L117" s="720">
        <v>1</v>
      </c>
      <c r="M117" s="720">
        <v>22.142857142857142</v>
      </c>
      <c r="N117" s="720">
        <v>6</v>
      </c>
      <c r="O117" s="720">
        <v>138</v>
      </c>
      <c r="P117" s="745">
        <v>0.89032258064516134</v>
      </c>
      <c r="Q117" s="721">
        <v>23</v>
      </c>
    </row>
    <row r="118" spans="1:17" ht="14.45" customHeight="1" x14ac:dyDescent="0.2">
      <c r="A118" s="715" t="s">
        <v>4440</v>
      </c>
      <c r="B118" s="716" t="s">
        <v>4441</v>
      </c>
      <c r="C118" s="716" t="s">
        <v>3029</v>
      </c>
      <c r="D118" s="716" t="s">
        <v>4548</v>
      </c>
      <c r="E118" s="716" t="s">
        <v>4549</v>
      </c>
      <c r="F118" s="720">
        <v>1852</v>
      </c>
      <c r="G118" s="720">
        <v>46300</v>
      </c>
      <c r="H118" s="720">
        <v>0.98284792391950415</v>
      </c>
      <c r="I118" s="720">
        <v>25</v>
      </c>
      <c r="J118" s="720">
        <v>1860</v>
      </c>
      <c r="K118" s="720">
        <v>47108</v>
      </c>
      <c r="L118" s="720">
        <v>1</v>
      </c>
      <c r="M118" s="720">
        <v>25.326881720430109</v>
      </c>
      <c r="N118" s="720">
        <v>1953</v>
      </c>
      <c r="O118" s="720">
        <v>50778</v>
      </c>
      <c r="P118" s="745">
        <v>1.0779060881378959</v>
      </c>
      <c r="Q118" s="721">
        <v>26</v>
      </c>
    </row>
    <row r="119" spans="1:17" ht="14.45" customHeight="1" x14ac:dyDescent="0.2">
      <c r="A119" s="715" t="s">
        <v>4440</v>
      </c>
      <c r="B119" s="716" t="s">
        <v>4441</v>
      </c>
      <c r="C119" s="716" t="s">
        <v>3029</v>
      </c>
      <c r="D119" s="716" t="s">
        <v>4550</v>
      </c>
      <c r="E119" s="716" t="s">
        <v>4551</v>
      </c>
      <c r="F119" s="720">
        <v>20</v>
      </c>
      <c r="G119" s="720">
        <v>660</v>
      </c>
      <c r="H119" s="720">
        <v>1.4285714285714286</v>
      </c>
      <c r="I119" s="720">
        <v>33</v>
      </c>
      <c r="J119" s="720">
        <v>14</v>
      </c>
      <c r="K119" s="720">
        <v>462</v>
      </c>
      <c r="L119" s="720">
        <v>1</v>
      </c>
      <c r="M119" s="720">
        <v>33</v>
      </c>
      <c r="N119" s="720">
        <v>12</v>
      </c>
      <c r="O119" s="720">
        <v>396</v>
      </c>
      <c r="P119" s="745">
        <v>0.8571428571428571</v>
      </c>
      <c r="Q119" s="721">
        <v>33</v>
      </c>
    </row>
    <row r="120" spans="1:17" ht="14.45" customHeight="1" x14ac:dyDescent="0.2">
      <c r="A120" s="715" t="s">
        <v>4440</v>
      </c>
      <c r="B120" s="716" t="s">
        <v>4441</v>
      </c>
      <c r="C120" s="716" t="s">
        <v>3029</v>
      </c>
      <c r="D120" s="716" t="s">
        <v>4552</v>
      </c>
      <c r="E120" s="716" t="s">
        <v>4553</v>
      </c>
      <c r="F120" s="720">
        <v>2</v>
      </c>
      <c r="G120" s="720">
        <v>60</v>
      </c>
      <c r="H120" s="720">
        <v>1</v>
      </c>
      <c r="I120" s="720">
        <v>30</v>
      </c>
      <c r="J120" s="720">
        <v>2</v>
      </c>
      <c r="K120" s="720">
        <v>60</v>
      </c>
      <c r="L120" s="720">
        <v>1</v>
      </c>
      <c r="M120" s="720">
        <v>30</v>
      </c>
      <c r="N120" s="720"/>
      <c r="O120" s="720"/>
      <c r="P120" s="745"/>
      <c r="Q120" s="721"/>
    </row>
    <row r="121" spans="1:17" ht="14.45" customHeight="1" x14ac:dyDescent="0.2">
      <c r="A121" s="715" t="s">
        <v>4440</v>
      </c>
      <c r="B121" s="716" t="s">
        <v>4441</v>
      </c>
      <c r="C121" s="716" t="s">
        <v>3029</v>
      </c>
      <c r="D121" s="716" t="s">
        <v>4554</v>
      </c>
      <c r="E121" s="716" t="s">
        <v>4555</v>
      </c>
      <c r="F121" s="720"/>
      <c r="G121" s="720"/>
      <c r="H121" s="720"/>
      <c r="I121" s="720"/>
      <c r="J121" s="720">
        <v>2</v>
      </c>
      <c r="K121" s="720">
        <v>409</v>
      </c>
      <c r="L121" s="720">
        <v>1</v>
      </c>
      <c r="M121" s="720">
        <v>204.5</v>
      </c>
      <c r="N121" s="720">
        <v>1</v>
      </c>
      <c r="O121" s="720">
        <v>204</v>
      </c>
      <c r="P121" s="745">
        <v>0.49877750611246946</v>
      </c>
      <c r="Q121" s="721">
        <v>204</v>
      </c>
    </row>
    <row r="122" spans="1:17" ht="14.45" customHeight="1" x14ac:dyDescent="0.2">
      <c r="A122" s="715" t="s">
        <v>4440</v>
      </c>
      <c r="B122" s="716" t="s">
        <v>4441</v>
      </c>
      <c r="C122" s="716" t="s">
        <v>3029</v>
      </c>
      <c r="D122" s="716" t="s">
        <v>4556</v>
      </c>
      <c r="E122" s="716" t="s">
        <v>4557</v>
      </c>
      <c r="F122" s="720">
        <v>791</v>
      </c>
      <c r="G122" s="720">
        <v>20566</v>
      </c>
      <c r="H122" s="720">
        <v>1.0955678670360112</v>
      </c>
      <c r="I122" s="720">
        <v>26</v>
      </c>
      <c r="J122" s="720">
        <v>722</v>
      </c>
      <c r="K122" s="720">
        <v>18772</v>
      </c>
      <c r="L122" s="720">
        <v>1</v>
      </c>
      <c r="M122" s="720">
        <v>26</v>
      </c>
      <c r="N122" s="720">
        <v>779</v>
      </c>
      <c r="O122" s="720">
        <v>20254</v>
      </c>
      <c r="P122" s="745">
        <v>1.0789473684210527</v>
      </c>
      <c r="Q122" s="721">
        <v>26</v>
      </c>
    </row>
    <row r="123" spans="1:17" ht="14.45" customHeight="1" x14ac:dyDescent="0.2">
      <c r="A123" s="715" t="s">
        <v>4440</v>
      </c>
      <c r="B123" s="716" t="s">
        <v>4441</v>
      </c>
      <c r="C123" s="716" t="s">
        <v>3029</v>
      </c>
      <c r="D123" s="716" t="s">
        <v>4558</v>
      </c>
      <c r="E123" s="716" t="s">
        <v>4559</v>
      </c>
      <c r="F123" s="720">
        <v>292</v>
      </c>
      <c r="G123" s="720">
        <v>24528</v>
      </c>
      <c r="H123" s="720">
        <v>0.96052631578947367</v>
      </c>
      <c r="I123" s="720">
        <v>84</v>
      </c>
      <c r="J123" s="720">
        <v>304</v>
      </c>
      <c r="K123" s="720">
        <v>25536</v>
      </c>
      <c r="L123" s="720">
        <v>1</v>
      </c>
      <c r="M123" s="720">
        <v>84</v>
      </c>
      <c r="N123" s="720">
        <v>381</v>
      </c>
      <c r="O123" s="720">
        <v>32004</v>
      </c>
      <c r="P123" s="745">
        <v>1.2532894736842106</v>
      </c>
      <c r="Q123" s="721">
        <v>84</v>
      </c>
    </row>
    <row r="124" spans="1:17" ht="14.45" customHeight="1" x14ac:dyDescent="0.2">
      <c r="A124" s="715" t="s">
        <v>4440</v>
      </c>
      <c r="B124" s="716" t="s">
        <v>4441</v>
      </c>
      <c r="C124" s="716" t="s">
        <v>3029</v>
      </c>
      <c r="D124" s="716" t="s">
        <v>4560</v>
      </c>
      <c r="E124" s="716" t="s">
        <v>4561</v>
      </c>
      <c r="F124" s="720">
        <v>22</v>
      </c>
      <c r="G124" s="720">
        <v>3872</v>
      </c>
      <c r="H124" s="720">
        <v>1.4666666666666666</v>
      </c>
      <c r="I124" s="720">
        <v>176</v>
      </c>
      <c r="J124" s="720">
        <v>15</v>
      </c>
      <c r="K124" s="720">
        <v>2640</v>
      </c>
      <c r="L124" s="720">
        <v>1</v>
      </c>
      <c r="M124" s="720">
        <v>176</v>
      </c>
      <c r="N124" s="720">
        <v>10</v>
      </c>
      <c r="O124" s="720">
        <v>1770</v>
      </c>
      <c r="P124" s="745">
        <v>0.67045454545454541</v>
      </c>
      <c r="Q124" s="721">
        <v>177</v>
      </c>
    </row>
    <row r="125" spans="1:17" ht="14.45" customHeight="1" x14ac:dyDescent="0.2">
      <c r="A125" s="715" t="s">
        <v>4440</v>
      </c>
      <c r="B125" s="716" t="s">
        <v>4441</v>
      </c>
      <c r="C125" s="716" t="s">
        <v>3029</v>
      </c>
      <c r="D125" s="716" t="s">
        <v>4562</v>
      </c>
      <c r="E125" s="716" t="s">
        <v>4563</v>
      </c>
      <c r="F125" s="720">
        <v>2</v>
      </c>
      <c r="G125" s="720">
        <v>506</v>
      </c>
      <c r="H125" s="720">
        <v>1</v>
      </c>
      <c r="I125" s="720">
        <v>253</v>
      </c>
      <c r="J125" s="720">
        <v>2</v>
      </c>
      <c r="K125" s="720">
        <v>506</v>
      </c>
      <c r="L125" s="720">
        <v>1</v>
      </c>
      <c r="M125" s="720">
        <v>253</v>
      </c>
      <c r="N125" s="720">
        <v>1</v>
      </c>
      <c r="O125" s="720">
        <v>254</v>
      </c>
      <c r="P125" s="745">
        <v>0.50197628458498023</v>
      </c>
      <c r="Q125" s="721">
        <v>254</v>
      </c>
    </row>
    <row r="126" spans="1:17" ht="14.45" customHeight="1" x14ac:dyDescent="0.2">
      <c r="A126" s="715" t="s">
        <v>4440</v>
      </c>
      <c r="B126" s="716" t="s">
        <v>4441</v>
      </c>
      <c r="C126" s="716" t="s">
        <v>3029</v>
      </c>
      <c r="D126" s="716" t="s">
        <v>4564</v>
      </c>
      <c r="E126" s="716" t="s">
        <v>4565</v>
      </c>
      <c r="F126" s="720">
        <v>240</v>
      </c>
      <c r="G126" s="720">
        <v>3600</v>
      </c>
      <c r="H126" s="720">
        <v>0.75677948286735341</v>
      </c>
      <c r="I126" s="720">
        <v>15</v>
      </c>
      <c r="J126" s="720">
        <v>310</v>
      </c>
      <c r="K126" s="720">
        <v>4757</v>
      </c>
      <c r="L126" s="720">
        <v>1</v>
      </c>
      <c r="M126" s="720">
        <v>15.345161290322581</v>
      </c>
      <c r="N126" s="720">
        <v>296</v>
      </c>
      <c r="O126" s="720">
        <v>4736</v>
      </c>
      <c r="P126" s="745">
        <v>0.99558545301660706</v>
      </c>
      <c r="Q126" s="721">
        <v>16</v>
      </c>
    </row>
    <row r="127" spans="1:17" ht="14.45" customHeight="1" x14ac:dyDescent="0.2">
      <c r="A127" s="715" t="s">
        <v>4440</v>
      </c>
      <c r="B127" s="716" t="s">
        <v>4441</v>
      </c>
      <c r="C127" s="716" t="s">
        <v>3029</v>
      </c>
      <c r="D127" s="716" t="s">
        <v>4566</v>
      </c>
      <c r="E127" s="716" t="s">
        <v>4567</v>
      </c>
      <c r="F127" s="720">
        <v>251</v>
      </c>
      <c r="G127" s="720">
        <v>5773</v>
      </c>
      <c r="H127" s="720">
        <v>0.98431372549019602</v>
      </c>
      <c r="I127" s="720">
        <v>23</v>
      </c>
      <c r="J127" s="720">
        <v>255</v>
      </c>
      <c r="K127" s="720">
        <v>5865</v>
      </c>
      <c r="L127" s="720">
        <v>1</v>
      </c>
      <c r="M127" s="720">
        <v>23</v>
      </c>
      <c r="N127" s="720">
        <v>265</v>
      </c>
      <c r="O127" s="720">
        <v>6095</v>
      </c>
      <c r="P127" s="745">
        <v>1.0392156862745099</v>
      </c>
      <c r="Q127" s="721">
        <v>23</v>
      </c>
    </row>
    <row r="128" spans="1:17" ht="14.45" customHeight="1" x14ac:dyDescent="0.2">
      <c r="A128" s="715" t="s">
        <v>4440</v>
      </c>
      <c r="B128" s="716" t="s">
        <v>4441</v>
      </c>
      <c r="C128" s="716" t="s">
        <v>3029</v>
      </c>
      <c r="D128" s="716" t="s">
        <v>4568</v>
      </c>
      <c r="E128" s="716" t="s">
        <v>4569</v>
      </c>
      <c r="F128" s="720">
        <v>1</v>
      </c>
      <c r="G128" s="720">
        <v>252</v>
      </c>
      <c r="H128" s="720">
        <v>1</v>
      </c>
      <c r="I128" s="720">
        <v>252</v>
      </c>
      <c r="J128" s="720">
        <v>1</v>
      </c>
      <c r="K128" s="720">
        <v>252</v>
      </c>
      <c r="L128" s="720">
        <v>1</v>
      </c>
      <c r="M128" s="720">
        <v>252</v>
      </c>
      <c r="N128" s="720">
        <v>1</v>
      </c>
      <c r="O128" s="720">
        <v>253</v>
      </c>
      <c r="P128" s="745">
        <v>1.003968253968254</v>
      </c>
      <c r="Q128" s="721">
        <v>253</v>
      </c>
    </row>
    <row r="129" spans="1:17" ht="14.45" customHeight="1" x14ac:dyDescent="0.2">
      <c r="A129" s="715" t="s">
        <v>4440</v>
      </c>
      <c r="B129" s="716" t="s">
        <v>4441</v>
      </c>
      <c r="C129" s="716" t="s">
        <v>3029</v>
      </c>
      <c r="D129" s="716" t="s">
        <v>4570</v>
      </c>
      <c r="E129" s="716" t="s">
        <v>4571</v>
      </c>
      <c r="F129" s="720">
        <v>494</v>
      </c>
      <c r="G129" s="720">
        <v>18278</v>
      </c>
      <c r="H129" s="720">
        <v>0.83870967741935487</v>
      </c>
      <c r="I129" s="720">
        <v>37</v>
      </c>
      <c r="J129" s="720">
        <v>589</v>
      </c>
      <c r="K129" s="720">
        <v>21793</v>
      </c>
      <c r="L129" s="720">
        <v>1</v>
      </c>
      <c r="M129" s="720">
        <v>37</v>
      </c>
      <c r="N129" s="720">
        <v>554</v>
      </c>
      <c r="O129" s="720">
        <v>20498</v>
      </c>
      <c r="P129" s="745">
        <v>0.94057724957555178</v>
      </c>
      <c r="Q129" s="721">
        <v>37</v>
      </c>
    </row>
    <row r="130" spans="1:17" ht="14.45" customHeight="1" x14ac:dyDescent="0.2">
      <c r="A130" s="715" t="s">
        <v>4440</v>
      </c>
      <c r="B130" s="716" t="s">
        <v>4441</v>
      </c>
      <c r="C130" s="716" t="s">
        <v>3029</v>
      </c>
      <c r="D130" s="716" t="s">
        <v>4572</v>
      </c>
      <c r="E130" s="716" t="s">
        <v>4573</v>
      </c>
      <c r="F130" s="720">
        <v>6361</v>
      </c>
      <c r="G130" s="720">
        <v>146303</v>
      </c>
      <c r="H130" s="720">
        <v>1.0042627091885066</v>
      </c>
      <c r="I130" s="720">
        <v>23</v>
      </c>
      <c r="J130" s="720">
        <v>6334</v>
      </c>
      <c r="K130" s="720">
        <v>145682</v>
      </c>
      <c r="L130" s="720">
        <v>1</v>
      </c>
      <c r="M130" s="720">
        <v>23</v>
      </c>
      <c r="N130" s="720">
        <v>6188</v>
      </c>
      <c r="O130" s="720">
        <v>142324</v>
      </c>
      <c r="P130" s="745">
        <v>0.97694979475844645</v>
      </c>
      <c r="Q130" s="721">
        <v>23</v>
      </c>
    </row>
    <row r="131" spans="1:17" ht="14.45" customHeight="1" x14ac:dyDescent="0.2">
      <c r="A131" s="715" t="s">
        <v>4440</v>
      </c>
      <c r="B131" s="716" t="s">
        <v>4441</v>
      </c>
      <c r="C131" s="716" t="s">
        <v>3029</v>
      </c>
      <c r="D131" s="716" t="s">
        <v>4574</v>
      </c>
      <c r="E131" s="716" t="s">
        <v>4575</v>
      </c>
      <c r="F131" s="720">
        <v>1</v>
      </c>
      <c r="G131" s="720">
        <v>171</v>
      </c>
      <c r="H131" s="720">
        <v>1</v>
      </c>
      <c r="I131" s="720">
        <v>171</v>
      </c>
      <c r="J131" s="720">
        <v>1</v>
      </c>
      <c r="K131" s="720">
        <v>171</v>
      </c>
      <c r="L131" s="720">
        <v>1</v>
      </c>
      <c r="M131" s="720">
        <v>171</v>
      </c>
      <c r="N131" s="720">
        <v>1</v>
      </c>
      <c r="O131" s="720">
        <v>171</v>
      </c>
      <c r="P131" s="745">
        <v>1</v>
      </c>
      <c r="Q131" s="721">
        <v>171</v>
      </c>
    </row>
    <row r="132" spans="1:17" ht="14.45" customHeight="1" x14ac:dyDescent="0.2">
      <c r="A132" s="715" t="s">
        <v>4440</v>
      </c>
      <c r="B132" s="716" t="s">
        <v>4441</v>
      </c>
      <c r="C132" s="716" t="s">
        <v>3029</v>
      </c>
      <c r="D132" s="716" t="s">
        <v>4576</v>
      </c>
      <c r="E132" s="716" t="s">
        <v>4577</v>
      </c>
      <c r="F132" s="720">
        <v>3</v>
      </c>
      <c r="G132" s="720">
        <v>993</v>
      </c>
      <c r="H132" s="720"/>
      <c r="I132" s="720">
        <v>331</v>
      </c>
      <c r="J132" s="720"/>
      <c r="K132" s="720"/>
      <c r="L132" s="720"/>
      <c r="M132" s="720"/>
      <c r="N132" s="720">
        <v>2</v>
      </c>
      <c r="O132" s="720">
        <v>662</v>
      </c>
      <c r="P132" s="745"/>
      <c r="Q132" s="721">
        <v>331</v>
      </c>
    </row>
    <row r="133" spans="1:17" ht="14.45" customHeight="1" x14ac:dyDescent="0.2">
      <c r="A133" s="715" t="s">
        <v>4440</v>
      </c>
      <c r="B133" s="716" t="s">
        <v>4441</v>
      </c>
      <c r="C133" s="716" t="s">
        <v>3029</v>
      </c>
      <c r="D133" s="716" t="s">
        <v>4578</v>
      </c>
      <c r="E133" s="716" t="s">
        <v>4579</v>
      </c>
      <c r="F133" s="720">
        <v>1</v>
      </c>
      <c r="G133" s="720">
        <v>277</v>
      </c>
      <c r="H133" s="720"/>
      <c r="I133" s="720">
        <v>277</v>
      </c>
      <c r="J133" s="720"/>
      <c r="K133" s="720"/>
      <c r="L133" s="720"/>
      <c r="M133" s="720"/>
      <c r="N133" s="720"/>
      <c r="O133" s="720"/>
      <c r="P133" s="745"/>
      <c r="Q133" s="721"/>
    </row>
    <row r="134" spans="1:17" ht="14.45" customHeight="1" x14ac:dyDescent="0.2">
      <c r="A134" s="715" t="s">
        <v>4440</v>
      </c>
      <c r="B134" s="716" t="s">
        <v>4441</v>
      </c>
      <c r="C134" s="716" t="s">
        <v>3029</v>
      </c>
      <c r="D134" s="716" t="s">
        <v>4580</v>
      </c>
      <c r="E134" s="716" t="s">
        <v>4581</v>
      </c>
      <c r="F134" s="720">
        <v>216</v>
      </c>
      <c r="G134" s="720">
        <v>6264</v>
      </c>
      <c r="H134" s="720">
        <v>1.130890052356021</v>
      </c>
      <c r="I134" s="720">
        <v>29</v>
      </c>
      <c r="J134" s="720">
        <v>191</v>
      </c>
      <c r="K134" s="720">
        <v>5539</v>
      </c>
      <c r="L134" s="720">
        <v>1</v>
      </c>
      <c r="M134" s="720">
        <v>29</v>
      </c>
      <c r="N134" s="720">
        <v>231</v>
      </c>
      <c r="O134" s="720">
        <v>6699</v>
      </c>
      <c r="P134" s="745">
        <v>1.2094240837696335</v>
      </c>
      <c r="Q134" s="721">
        <v>29</v>
      </c>
    </row>
    <row r="135" spans="1:17" ht="14.45" customHeight="1" x14ac:dyDescent="0.2">
      <c r="A135" s="715" t="s">
        <v>4440</v>
      </c>
      <c r="B135" s="716" t="s">
        <v>4441</v>
      </c>
      <c r="C135" s="716" t="s">
        <v>3029</v>
      </c>
      <c r="D135" s="716" t="s">
        <v>4582</v>
      </c>
      <c r="E135" s="716" t="s">
        <v>4583</v>
      </c>
      <c r="F135" s="720">
        <v>904</v>
      </c>
      <c r="G135" s="720">
        <v>160912</v>
      </c>
      <c r="H135" s="720">
        <v>0.97624190064794814</v>
      </c>
      <c r="I135" s="720">
        <v>178</v>
      </c>
      <c r="J135" s="720">
        <v>926</v>
      </c>
      <c r="K135" s="720">
        <v>164828</v>
      </c>
      <c r="L135" s="720">
        <v>1</v>
      </c>
      <c r="M135" s="720">
        <v>178</v>
      </c>
      <c r="N135" s="720">
        <v>955</v>
      </c>
      <c r="O135" s="720">
        <v>170945</v>
      </c>
      <c r="P135" s="745">
        <v>1.0371114131094232</v>
      </c>
      <c r="Q135" s="721">
        <v>179</v>
      </c>
    </row>
    <row r="136" spans="1:17" ht="14.45" customHeight="1" x14ac:dyDescent="0.2">
      <c r="A136" s="715" t="s">
        <v>4440</v>
      </c>
      <c r="B136" s="716" t="s">
        <v>4441</v>
      </c>
      <c r="C136" s="716" t="s">
        <v>3029</v>
      </c>
      <c r="D136" s="716" t="s">
        <v>4584</v>
      </c>
      <c r="E136" s="716" t="s">
        <v>4585</v>
      </c>
      <c r="F136" s="720">
        <v>2</v>
      </c>
      <c r="G136" s="720">
        <v>398</v>
      </c>
      <c r="H136" s="720"/>
      <c r="I136" s="720">
        <v>199</v>
      </c>
      <c r="J136" s="720"/>
      <c r="K136" s="720"/>
      <c r="L136" s="720"/>
      <c r="M136" s="720"/>
      <c r="N136" s="720"/>
      <c r="O136" s="720"/>
      <c r="P136" s="745"/>
      <c r="Q136" s="721"/>
    </row>
    <row r="137" spans="1:17" ht="14.45" customHeight="1" x14ac:dyDescent="0.2">
      <c r="A137" s="715" t="s">
        <v>4440</v>
      </c>
      <c r="B137" s="716" t="s">
        <v>4441</v>
      </c>
      <c r="C137" s="716" t="s">
        <v>3029</v>
      </c>
      <c r="D137" s="716" t="s">
        <v>4586</v>
      </c>
      <c r="E137" s="716" t="s">
        <v>4587</v>
      </c>
      <c r="F137" s="720">
        <v>2</v>
      </c>
      <c r="G137" s="720">
        <v>30</v>
      </c>
      <c r="H137" s="720">
        <v>0.38461538461538464</v>
      </c>
      <c r="I137" s="720">
        <v>15</v>
      </c>
      <c r="J137" s="720">
        <v>5</v>
      </c>
      <c r="K137" s="720">
        <v>78</v>
      </c>
      <c r="L137" s="720">
        <v>1</v>
      </c>
      <c r="M137" s="720">
        <v>15.6</v>
      </c>
      <c r="N137" s="720">
        <v>3</v>
      </c>
      <c r="O137" s="720">
        <v>48</v>
      </c>
      <c r="P137" s="745">
        <v>0.61538461538461542</v>
      </c>
      <c r="Q137" s="721">
        <v>16</v>
      </c>
    </row>
    <row r="138" spans="1:17" ht="14.45" customHeight="1" x14ac:dyDescent="0.2">
      <c r="A138" s="715" t="s">
        <v>4440</v>
      </c>
      <c r="B138" s="716" t="s">
        <v>4441</v>
      </c>
      <c r="C138" s="716" t="s">
        <v>3029</v>
      </c>
      <c r="D138" s="716" t="s">
        <v>4588</v>
      </c>
      <c r="E138" s="716" t="s">
        <v>4589</v>
      </c>
      <c r="F138" s="720">
        <v>217</v>
      </c>
      <c r="G138" s="720">
        <v>4123</v>
      </c>
      <c r="H138" s="720">
        <v>0.96399345335515552</v>
      </c>
      <c r="I138" s="720">
        <v>19</v>
      </c>
      <c r="J138" s="720">
        <v>221</v>
      </c>
      <c r="K138" s="720">
        <v>4277</v>
      </c>
      <c r="L138" s="720">
        <v>1</v>
      </c>
      <c r="M138" s="720">
        <v>19.352941176470587</v>
      </c>
      <c r="N138" s="720">
        <v>236</v>
      </c>
      <c r="O138" s="720">
        <v>4720</v>
      </c>
      <c r="P138" s="745">
        <v>1.1035772737900398</v>
      </c>
      <c r="Q138" s="721">
        <v>20</v>
      </c>
    </row>
    <row r="139" spans="1:17" ht="14.45" customHeight="1" x14ac:dyDescent="0.2">
      <c r="A139" s="715" t="s">
        <v>4440</v>
      </c>
      <c r="B139" s="716" t="s">
        <v>4441</v>
      </c>
      <c r="C139" s="716" t="s">
        <v>3029</v>
      </c>
      <c r="D139" s="716" t="s">
        <v>4590</v>
      </c>
      <c r="E139" s="716" t="s">
        <v>4591</v>
      </c>
      <c r="F139" s="720">
        <v>1459</v>
      </c>
      <c r="G139" s="720">
        <v>29180</v>
      </c>
      <c r="H139" s="720">
        <v>1.0727941176470588</v>
      </c>
      <c r="I139" s="720">
        <v>20</v>
      </c>
      <c r="J139" s="720">
        <v>1360</v>
      </c>
      <c r="K139" s="720">
        <v>27200</v>
      </c>
      <c r="L139" s="720">
        <v>1</v>
      </c>
      <c r="M139" s="720">
        <v>20</v>
      </c>
      <c r="N139" s="720">
        <v>1327</v>
      </c>
      <c r="O139" s="720">
        <v>26540</v>
      </c>
      <c r="P139" s="745">
        <v>0.97573529411764703</v>
      </c>
      <c r="Q139" s="721">
        <v>20</v>
      </c>
    </row>
    <row r="140" spans="1:17" ht="14.45" customHeight="1" x14ac:dyDescent="0.2">
      <c r="A140" s="715" t="s">
        <v>4440</v>
      </c>
      <c r="B140" s="716" t="s">
        <v>4441</v>
      </c>
      <c r="C140" s="716" t="s">
        <v>3029</v>
      </c>
      <c r="D140" s="716" t="s">
        <v>4592</v>
      </c>
      <c r="E140" s="716" t="s">
        <v>4593</v>
      </c>
      <c r="F140" s="720">
        <v>1</v>
      </c>
      <c r="G140" s="720">
        <v>186</v>
      </c>
      <c r="H140" s="720"/>
      <c r="I140" s="720">
        <v>186</v>
      </c>
      <c r="J140" s="720"/>
      <c r="K140" s="720"/>
      <c r="L140" s="720"/>
      <c r="M140" s="720"/>
      <c r="N140" s="720"/>
      <c r="O140" s="720"/>
      <c r="P140" s="745"/>
      <c r="Q140" s="721"/>
    </row>
    <row r="141" spans="1:17" ht="14.45" customHeight="1" x14ac:dyDescent="0.2">
      <c r="A141" s="715" t="s">
        <v>4440</v>
      </c>
      <c r="B141" s="716" t="s">
        <v>4441</v>
      </c>
      <c r="C141" s="716" t="s">
        <v>3029</v>
      </c>
      <c r="D141" s="716" t="s">
        <v>4594</v>
      </c>
      <c r="E141" s="716" t="s">
        <v>4595</v>
      </c>
      <c r="F141" s="720">
        <v>1</v>
      </c>
      <c r="G141" s="720">
        <v>188</v>
      </c>
      <c r="H141" s="720">
        <v>0.99470899470899465</v>
      </c>
      <c r="I141" s="720">
        <v>188</v>
      </c>
      <c r="J141" s="720">
        <v>1</v>
      </c>
      <c r="K141" s="720">
        <v>189</v>
      </c>
      <c r="L141" s="720">
        <v>1</v>
      </c>
      <c r="M141" s="720">
        <v>189</v>
      </c>
      <c r="N141" s="720"/>
      <c r="O141" s="720"/>
      <c r="P141" s="745"/>
      <c r="Q141" s="721"/>
    </row>
    <row r="142" spans="1:17" ht="14.45" customHeight="1" x14ac:dyDescent="0.2">
      <c r="A142" s="715" t="s">
        <v>4440</v>
      </c>
      <c r="B142" s="716" t="s">
        <v>4441</v>
      </c>
      <c r="C142" s="716" t="s">
        <v>3029</v>
      </c>
      <c r="D142" s="716" t="s">
        <v>4596</v>
      </c>
      <c r="E142" s="716" t="s">
        <v>4597</v>
      </c>
      <c r="F142" s="720">
        <v>1</v>
      </c>
      <c r="G142" s="720">
        <v>163</v>
      </c>
      <c r="H142" s="720"/>
      <c r="I142" s="720">
        <v>163</v>
      </c>
      <c r="J142" s="720"/>
      <c r="K142" s="720"/>
      <c r="L142" s="720"/>
      <c r="M142" s="720"/>
      <c r="N142" s="720"/>
      <c r="O142" s="720"/>
      <c r="P142" s="745"/>
      <c r="Q142" s="721"/>
    </row>
    <row r="143" spans="1:17" ht="14.45" customHeight="1" x14ac:dyDescent="0.2">
      <c r="A143" s="715" t="s">
        <v>4440</v>
      </c>
      <c r="B143" s="716" t="s">
        <v>4441</v>
      </c>
      <c r="C143" s="716" t="s">
        <v>3029</v>
      </c>
      <c r="D143" s="716" t="s">
        <v>4598</v>
      </c>
      <c r="E143" s="716" t="s">
        <v>4599</v>
      </c>
      <c r="F143" s="720">
        <v>1</v>
      </c>
      <c r="G143" s="720">
        <v>174</v>
      </c>
      <c r="H143" s="720">
        <v>1</v>
      </c>
      <c r="I143" s="720">
        <v>174</v>
      </c>
      <c r="J143" s="720">
        <v>1</v>
      </c>
      <c r="K143" s="720">
        <v>174</v>
      </c>
      <c r="L143" s="720">
        <v>1</v>
      </c>
      <c r="M143" s="720">
        <v>174</v>
      </c>
      <c r="N143" s="720"/>
      <c r="O143" s="720"/>
      <c r="P143" s="745"/>
      <c r="Q143" s="721"/>
    </row>
    <row r="144" spans="1:17" ht="14.45" customHeight="1" x14ac:dyDescent="0.2">
      <c r="A144" s="715" t="s">
        <v>4440</v>
      </c>
      <c r="B144" s="716" t="s">
        <v>4441</v>
      </c>
      <c r="C144" s="716" t="s">
        <v>3029</v>
      </c>
      <c r="D144" s="716" t="s">
        <v>4600</v>
      </c>
      <c r="E144" s="716" t="s">
        <v>4601</v>
      </c>
      <c r="F144" s="720">
        <v>280</v>
      </c>
      <c r="G144" s="720">
        <v>23520</v>
      </c>
      <c r="H144" s="720">
        <v>0.81871345029239762</v>
      </c>
      <c r="I144" s="720">
        <v>84</v>
      </c>
      <c r="J144" s="720">
        <v>342</v>
      </c>
      <c r="K144" s="720">
        <v>28728</v>
      </c>
      <c r="L144" s="720">
        <v>1</v>
      </c>
      <c r="M144" s="720">
        <v>84</v>
      </c>
      <c r="N144" s="720">
        <v>388</v>
      </c>
      <c r="O144" s="720">
        <v>32592</v>
      </c>
      <c r="P144" s="745">
        <v>1.1345029239766082</v>
      </c>
      <c r="Q144" s="721">
        <v>84</v>
      </c>
    </row>
    <row r="145" spans="1:17" ht="14.45" customHeight="1" x14ac:dyDescent="0.2">
      <c r="A145" s="715" t="s">
        <v>4440</v>
      </c>
      <c r="B145" s="716" t="s">
        <v>4441</v>
      </c>
      <c r="C145" s="716" t="s">
        <v>3029</v>
      </c>
      <c r="D145" s="716" t="s">
        <v>4602</v>
      </c>
      <c r="E145" s="716" t="s">
        <v>4603</v>
      </c>
      <c r="F145" s="720"/>
      <c r="G145" s="720"/>
      <c r="H145" s="720"/>
      <c r="I145" s="720"/>
      <c r="J145" s="720">
        <v>3</v>
      </c>
      <c r="K145" s="720">
        <v>1962</v>
      </c>
      <c r="L145" s="720">
        <v>1</v>
      </c>
      <c r="M145" s="720">
        <v>654</v>
      </c>
      <c r="N145" s="720"/>
      <c r="O145" s="720"/>
      <c r="P145" s="745"/>
      <c r="Q145" s="721"/>
    </row>
    <row r="146" spans="1:17" ht="14.45" customHeight="1" x14ac:dyDescent="0.2">
      <c r="A146" s="715" t="s">
        <v>4440</v>
      </c>
      <c r="B146" s="716" t="s">
        <v>4441</v>
      </c>
      <c r="C146" s="716" t="s">
        <v>3029</v>
      </c>
      <c r="D146" s="716" t="s">
        <v>4604</v>
      </c>
      <c r="E146" s="716" t="s">
        <v>4605</v>
      </c>
      <c r="F146" s="720">
        <v>1</v>
      </c>
      <c r="G146" s="720">
        <v>78</v>
      </c>
      <c r="H146" s="720">
        <v>1</v>
      </c>
      <c r="I146" s="720">
        <v>78</v>
      </c>
      <c r="J146" s="720">
        <v>1</v>
      </c>
      <c r="K146" s="720">
        <v>78</v>
      </c>
      <c r="L146" s="720">
        <v>1</v>
      </c>
      <c r="M146" s="720">
        <v>78</v>
      </c>
      <c r="N146" s="720"/>
      <c r="O146" s="720"/>
      <c r="P146" s="745"/>
      <c r="Q146" s="721"/>
    </row>
    <row r="147" spans="1:17" ht="14.45" customHeight="1" x14ac:dyDescent="0.2">
      <c r="A147" s="715" t="s">
        <v>4440</v>
      </c>
      <c r="B147" s="716" t="s">
        <v>4441</v>
      </c>
      <c r="C147" s="716" t="s">
        <v>3029</v>
      </c>
      <c r="D147" s="716" t="s">
        <v>4606</v>
      </c>
      <c r="E147" s="716" t="s">
        <v>4607</v>
      </c>
      <c r="F147" s="720">
        <v>5</v>
      </c>
      <c r="G147" s="720">
        <v>1505</v>
      </c>
      <c r="H147" s="720"/>
      <c r="I147" s="720">
        <v>301</v>
      </c>
      <c r="J147" s="720"/>
      <c r="K147" s="720"/>
      <c r="L147" s="720"/>
      <c r="M147" s="720"/>
      <c r="N147" s="720">
        <v>2</v>
      </c>
      <c r="O147" s="720">
        <v>604</v>
      </c>
      <c r="P147" s="745"/>
      <c r="Q147" s="721">
        <v>302</v>
      </c>
    </row>
    <row r="148" spans="1:17" ht="14.45" customHeight="1" x14ac:dyDescent="0.2">
      <c r="A148" s="715" t="s">
        <v>4440</v>
      </c>
      <c r="B148" s="716" t="s">
        <v>4441</v>
      </c>
      <c r="C148" s="716" t="s">
        <v>3029</v>
      </c>
      <c r="D148" s="716" t="s">
        <v>4608</v>
      </c>
      <c r="E148" s="716" t="s">
        <v>4609</v>
      </c>
      <c r="F148" s="720">
        <v>3</v>
      </c>
      <c r="G148" s="720">
        <v>63</v>
      </c>
      <c r="H148" s="720">
        <v>1.4651162790697674</v>
      </c>
      <c r="I148" s="720">
        <v>21</v>
      </c>
      <c r="J148" s="720">
        <v>2</v>
      </c>
      <c r="K148" s="720">
        <v>43</v>
      </c>
      <c r="L148" s="720">
        <v>1</v>
      </c>
      <c r="M148" s="720">
        <v>21.5</v>
      </c>
      <c r="N148" s="720">
        <v>2</v>
      </c>
      <c r="O148" s="720">
        <v>44</v>
      </c>
      <c r="P148" s="745">
        <v>1.0232558139534884</v>
      </c>
      <c r="Q148" s="721">
        <v>22</v>
      </c>
    </row>
    <row r="149" spans="1:17" ht="14.45" customHeight="1" x14ac:dyDescent="0.2">
      <c r="A149" s="715" t="s">
        <v>4440</v>
      </c>
      <c r="B149" s="716" t="s">
        <v>4441</v>
      </c>
      <c r="C149" s="716" t="s">
        <v>3029</v>
      </c>
      <c r="D149" s="716" t="s">
        <v>4610</v>
      </c>
      <c r="E149" s="716" t="s">
        <v>4611</v>
      </c>
      <c r="F149" s="720">
        <v>171</v>
      </c>
      <c r="G149" s="720">
        <v>3762</v>
      </c>
      <c r="H149" s="720">
        <v>0.83823529411764708</v>
      </c>
      <c r="I149" s="720">
        <v>22</v>
      </c>
      <c r="J149" s="720">
        <v>204</v>
      </c>
      <c r="K149" s="720">
        <v>4488</v>
      </c>
      <c r="L149" s="720">
        <v>1</v>
      </c>
      <c r="M149" s="720">
        <v>22</v>
      </c>
      <c r="N149" s="720">
        <v>195</v>
      </c>
      <c r="O149" s="720">
        <v>4290</v>
      </c>
      <c r="P149" s="745">
        <v>0.95588235294117652</v>
      </c>
      <c r="Q149" s="721">
        <v>22</v>
      </c>
    </row>
    <row r="150" spans="1:17" ht="14.45" customHeight="1" x14ac:dyDescent="0.2">
      <c r="A150" s="715" t="s">
        <v>4440</v>
      </c>
      <c r="B150" s="716" t="s">
        <v>4441</v>
      </c>
      <c r="C150" s="716" t="s">
        <v>3029</v>
      </c>
      <c r="D150" s="716" t="s">
        <v>4612</v>
      </c>
      <c r="E150" s="716" t="s">
        <v>4613</v>
      </c>
      <c r="F150" s="720">
        <v>8</v>
      </c>
      <c r="G150" s="720">
        <v>3960</v>
      </c>
      <c r="H150" s="720">
        <v>4</v>
      </c>
      <c r="I150" s="720">
        <v>495</v>
      </c>
      <c r="J150" s="720">
        <v>2</v>
      </c>
      <c r="K150" s="720">
        <v>990</v>
      </c>
      <c r="L150" s="720">
        <v>1</v>
      </c>
      <c r="M150" s="720">
        <v>495</v>
      </c>
      <c r="N150" s="720">
        <v>5</v>
      </c>
      <c r="O150" s="720">
        <v>2475</v>
      </c>
      <c r="P150" s="745">
        <v>2.5</v>
      </c>
      <c r="Q150" s="721">
        <v>495</v>
      </c>
    </row>
    <row r="151" spans="1:17" ht="14.45" customHeight="1" x14ac:dyDescent="0.2">
      <c r="A151" s="715" t="s">
        <v>4440</v>
      </c>
      <c r="B151" s="716" t="s">
        <v>4441</v>
      </c>
      <c r="C151" s="716" t="s">
        <v>3029</v>
      </c>
      <c r="D151" s="716" t="s">
        <v>4614</v>
      </c>
      <c r="E151" s="716" t="s">
        <v>4615</v>
      </c>
      <c r="F151" s="720">
        <v>4</v>
      </c>
      <c r="G151" s="720">
        <v>2316</v>
      </c>
      <c r="H151" s="720"/>
      <c r="I151" s="720">
        <v>579</v>
      </c>
      <c r="J151" s="720"/>
      <c r="K151" s="720"/>
      <c r="L151" s="720"/>
      <c r="M151" s="720"/>
      <c r="N151" s="720"/>
      <c r="O151" s="720"/>
      <c r="P151" s="745"/>
      <c r="Q151" s="721"/>
    </row>
    <row r="152" spans="1:17" ht="14.45" customHeight="1" x14ac:dyDescent="0.2">
      <c r="A152" s="715" t="s">
        <v>4440</v>
      </c>
      <c r="B152" s="716" t="s">
        <v>4441</v>
      </c>
      <c r="C152" s="716" t="s">
        <v>3029</v>
      </c>
      <c r="D152" s="716" t="s">
        <v>4616</v>
      </c>
      <c r="E152" s="716" t="s">
        <v>4617</v>
      </c>
      <c r="F152" s="720">
        <v>8</v>
      </c>
      <c r="G152" s="720">
        <v>1536</v>
      </c>
      <c r="H152" s="720"/>
      <c r="I152" s="720">
        <v>192</v>
      </c>
      <c r="J152" s="720"/>
      <c r="K152" s="720"/>
      <c r="L152" s="720"/>
      <c r="M152" s="720"/>
      <c r="N152" s="720">
        <v>1</v>
      </c>
      <c r="O152" s="720">
        <v>192</v>
      </c>
      <c r="P152" s="745"/>
      <c r="Q152" s="721">
        <v>192</v>
      </c>
    </row>
    <row r="153" spans="1:17" ht="14.45" customHeight="1" x14ac:dyDescent="0.2">
      <c r="A153" s="715" t="s">
        <v>4440</v>
      </c>
      <c r="B153" s="716" t="s">
        <v>4441</v>
      </c>
      <c r="C153" s="716" t="s">
        <v>3029</v>
      </c>
      <c r="D153" s="716" t="s">
        <v>4618</v>
      </c>
      <c r="E153" s="716" t="s">
        <v>4619</v>
      </c>
      <c r="F153" s="720"/>
      <c r="G153" s="720"/>
      <c r="H153" s="720"/>
      <c r="I153" s="720"/>
      <c r="J153" s="720"/>
      <c r="K153" s="720"/>
      <c r="L153" s="720"/>
      <c r="M153" s="720"/>
      <c r="N153" s="720">
        <v>2</v>
      </c>
      <c r="O153" s="720">
        <v>410</v>
      </c>
      <c r="P153" s="745"/>
      <c r="Q153" s="721">
        <v>205</v>
      </c>
    </row>
    <row r="154" spans="1:17" ht="14.45" customHeight="1" x14ac:dyDescent="0.2">
      <c r="A154" s="715" t="s">
        <v>4440</v>
      </c>
      <c r="B154" s="716" t="s">
        <v>4441</v>
      </c>
      <c r="C154" s="716" t="s">
        <v>3029</v>
      </c>
      <c r="D154" s="716" t="s">
        <v>4620</v>
      </c>
      <c r="E154" s="716" t="s">
        <v>4621</v>
      </c>
      <c r="F154" s="720">
        <v>2</v>
      </c>
      <c r="G154" s="720">
        <v>336</v>
      </c>
      <c r="H154" s="720">
        <v>0.50074515648286144</v>
      </c>
      <c r="I154" s="720">
        <v>168</v>
      </c>
      <c r="J154" s="720">
        <v>4</v>
      </c>
      <c r="K154" s="720">
        <v>671</v>
      </c>
      <c r="L154" s="720">
        <v>1</v>
      </c>
      <c r="M154" s="720">
        <v>167.75</v>
      </c>
      <c r="N154" s="720">
        <v>7</v>
      </c>
      <c r="O154" s="720">
        <v>1176</v>
      </c>
      <c r="P154" s="745">
        <v>1.752608047690015</v>
      </c>
      <c r="Q154" s="721">
        <v>168</v>
      </c>
    </row>
    <row r="155" spans="1:17" ht="14.45" customHeight="1" x14ac:dyDescent="0.2">
      <c r="A155" s="715" t="s">
        <v>4440</v>
      </c>
      <c r="B155" s="716" t="s">
        <v>4441</v>
      </c>
      <c r="C155" s="716" t="s">
        <v>3029</v>
      </c>
      <c r="D155" s="716" t="s">
        <v>4622</v>
      </c>
      <c r="E155" s="716" t="s">
        <v>4623</v>
      </c>
      <c r="F155" s="720">
        <v>2</v>
      </c>
      <c r="G155" s="720">
        <v>254</v>
      </c>
      <c r="H155" s="720">
        <v>1</v>
      </c>
      <c r="I155" s="720">
        <v>127</v>
      </c>
      <c r="J155" s="720">
        <v>2</v>
      </c>
      <c r="K155" s="720">
        <v>254</v>
      </c>
      <c r="L155" s="720">
        <v>1</v>
      </c>
      <c r="M155" s="720">
        <v>127</v>
      </c>
      <c r="N155" s="720">
        <v>2</v>
      </c>
      <c r="O155" s="720">
        <v>254</v>
      </c>
      <c r="P155" s="745">
        <v>1</v>
      </c>
      <c r="Q155" s="721">
        <v>127</v>
      </c>
    </row>
    <row r="156" spans="1:17" ht="14.45" customHeight="1" x14ac:dyDescent="0.2">
      <c r="A156" s="715" t="s">
        <v>4440</v>
      </c>
      <c r="B156" s="716" t="s">
        <v>4441</v>
      </c>
      <c r="C156" s="716" t="s">
        <v>3029</v>
      </c>
      <c r="D156" s="716" t="s">
        <v>4624</v>
      </c>
      <c r="E156" s="716" t="s">
        <v>4625</v>
      </c>
      <c r="F156" s="720">
        <v>1</v>
      </c>
      <c r="G156" s="720">
        <v>265</v>
      </c>
      <c r="H156" s="720"/>
      <c r="I156" s="720">
        <v>265</v>
      </c>
      <c r="J156" s="720"/>
      <c r="K156" s="720"/>
      <c r="L156" s="720"/>
      <c r="M156" s="720"/>
      <c r="N156" s="720"/>
      <c r="O156" s="720"/>
      <c r="P156" s="745"/>
      <c r="Q156" s="721"/>
    </row>
    <row r="157" spans="1:17" ht="14.45" customHeight="1" x14ac:dyDescent="0.2">
      <c r="A157" s="715" t="s">
        <v>4440</v>
      </c>
      <c r="B157" s="716" t="s">
        <v>4441</v>
      </c>
      <c r="C157" s="716" t="s">
        <v>3029</v>
      </c>
      <c r="D157" s="716" t="s">
        <v>4626</v>
      </c>
      <c r="E157" s="716" t="s">
        <v>4627</v>
      </c>
      <c r="F157" s="720"/>
      <c r="G157" s="720"/>
      <c r="H157" s="720"/>
      <c r="I157" s="720"/>
      <c r="J157" s="720">
        <v>2</v>
      </c>
      <c r="K157" s="720">
        <v>620</v>
      </c>
      <c r="L157" s="720">
        <v>1</v>
      </c>
      <c r="M157" s="720">
        <v>310</v>
      </c>
      <c r="N157" s="720">
        <v>4</v>
      </c>
      <c r="O157" s="720">
        <v>1240</v>
      </c>
      <c r="P157" s="745">
        <v>2</v>
      </c>
      <c r="Q157" s="721">
        <v>310</v>
      </c>
    </row>
    <row r="158" spans="1:17" ht="14.45" customHeight="1" x14ac:dyDescent="0.2">
      <c r="A158" s="715" t="s">
        <v>4440</v>
      </c>
      <c r="B158" s="716" t="s">
        <v>4441</v>
      </c>
      <c r="C158" s="716" t="s">
        <v>3029</v>
      </c>
      <c r="D158" s="716" t="s">
        <v>4628</v>
      </c>
      <c r="E158" s="716" t="s">
        <v>4629</v>
      </c>
      <c r="F158" s="720">
        <v>6</v>
      </c>
      <c r="G158" s="720">
        <v>138</v>
      </c>
      <c r="H158" s="720">
        <v>1.2</v>
      </c>
      <c r="I158" s="720">
        <v>23</v>
      </c>
      <c r="J158" s="720">
        <v>5</v>
      </c>
      <c r="K158" s="720">
        <v>115</v>
      </c>
      <c r="L158" s="720">
        <v>1</v>
      </c>
      <c r="M158" s="720">
        <v>23</v>
      </c>
      <c r="N158" s="720">
        <v>8</v>
      </c>
      <c r="O158" s="720">
        <v>184</v>
      </c>
      <c r="P158" s="745">
        <v>1.6</v>
      </c>
      <c r="Q158" s="721">
        <v>23</v>
      </c>
    </row>
    <row r="159" spans="1:17" ht="14.45" customHeight="1" x14ac:dyDescent="0.2">
      <c r="A159" s="715" t="s">
        <v>4440</v>
      </c>
      <c r="B159" s="716" t="s">
        <v>4441</v>
      </c>
      <c r="C159" s="716" t="s">
        <v>3029</v>
      </c>
      <c r="D159" s="716" t="s">
        <v>4630</v>
      </c>
      <c r="E159" s="716" t="s">
        <v>4631</v>
      </c>
      <c r="F159" s="720">
        <v>1</v>
      </c>
      <c r="G159" s="720">
        <v>17</v>
      </c>
      <c r="H159" s="720">
        <v>0.2</v>
      </c>
      <c r="I159" s="720">
        <v>17</v>
      </c>
      <c r="J159" s="720">
        <v>5</v>
      </c>
      <c r="K159" s="720">
        <v>85</v>
      </c>
      <c r="L159" s="720">
        <v>1</v>
      </c>
      <c r="M159" s="720">
        <v>17</v>
      </c>
      <c r="N159" s="720">
        <v>7</v>
      </c>
      <c r="O159" s="720">
        <v>119</v>
      </c>
      <c r="P159" s="745">
        <v>1.4</v>
      </c>
      <c r="Q159" s="721">
        <v>17</v>
      </c>
    </row>
    <row r="160" spans="1:17" ht="14.45" customHeight="1" x14ac:dyDescent="0.2">
      <c r="A160" s="715" t="s">
        <v>4440</v>
      </c>
      <c r="B160" s="716" t="s">
        <v>4441</v>
      </c>
      <c r="C160" s="716" t="s">
        <v>3029</v>
      </c>
      <c r="D160" s="716" t="s">
        <v>4632</v>
      </c>
      <c r="E160" s="716" t="s">
        <v>4633</v>
      </c>
      <c r="F160" s="720">
        <v>1</v>
      </c>
      <c r="G160" s="720">
        <v>133</v>
      </c>
      <c r="H160" s="720"/>
      <c r="I160" s="720">
        <v>133</v>
      </c>
      <c r="J160" s="720"/>
      <c r="K160" s="720"/>
      <c r="L160" s="720"/>
      <c r="M160" s="720"/>
      <c r="N160" s="720"/>
      <c r="O160" s="720"/>
      <c r="P160" s="745"/>
      <c r="Q160" s="721"/>
    </row>
    <row r="161" spans="1:17" ht="14.45" customHeight="1" x14ac:dyDescent="0.2">
      <c r="A161" s="715" t="s">
        <v>4440</v>
      </c>
      <c r="B161" s="716" t="s">
        <v>4441</v>
      </c>
      <c r="C161" s="716" t="s">
        <v>3029</v>
      </c>
      <c r="D161" s="716" t="s">
        <v>4634</v>
      </c>
      <c r="E161" s="716" t="s">
        <v>4635</v>
      </c>
      <c r="F161" s="720"/>
      <c r="G161" s="720"/>
      <c r="H161" s="720"/>
      <c r="I161" s="720"/>
      <c r="J161" s="720"/>
      <c r="K161" s="720"/>
      <c r="L161" s="720"/>
      <c r="M161" s="720"/>
      <c r="N161" s="720">
        <v>1</v>
      </c>
      <c r="O161" s="720">
        <v>652</v>
      </c>
      <c r="P161" s="745"/>
      <c r="Q161" s="721">
        <v>652</v>
      </c>
    </row>
    <row r="162" spans="1:17" ht="14.45" customHeight="1" x14ac:dyDescent="0.2">
      <c r="A162" s="715" t="s">
        <v>4440</v>
      </c>
      <c r="B162" s="716" t="s">
        <v>4441</v>
      </c>
      <c r="C162" s="716" t="s">
        <v>3029</v>
      </c>
      <c r="D162" s="716" t="s">
        <v>4636</v>
      </c>
      <c r="E162" s="716" t="s">
        <v>4637</v>
      </c>
      <c r="F162" s="720">
        <v>165</v>
      </c>
      <c r="G162" s="720">
        <v>48510</v>
      </c>
      <c r="H162" s="720">
        <v>1.7129237288135593</v>
      </c>
      <c r="I162" s="720">
        <v>294</v>
      </c>
      <c r="J162" s="720">
        <v>96</v>
      </c>
      <c r="K162" s="720">
        <v>28320</v>
      </c>
      <c r="L162" s="720">
        <v>1</v>
      </c>
      <c r="M162" s="720">
        <v>295</v>
      </c>
      <c r="N162" s="720">
        <v>179</v>
      </c>
      <c r="O162" s="720">
        <v>52984</v>
      </c>
      <c r="P162" s="745">
        <v>1.8709039548022599</v>
      </c>
      <c r="Q162" s="721">
        <v>296</v>
      </c>
    </row>
    <row r="163" spans="1:17" ht="14.45" customHeight="1" x14ac:dyDescent="0.2">
      <c r="A163" s="715" t="s">
        <v>4440</v>
      </c>
      <c r="B163" s="716" t="s">
        <v>4441</v>
      </c>
      <c r="C163" s="716" t="s">
        <v>3029</v>
      </c>
      <c r="D163" s="716" t="s">
        <v>4638</v>
      </c>
      <c r="E163" s="716" t="s">
        <v>4639</v>
      </c>
      <c r="F163" s="720">
        <v>2</v>
      </c>
      <c r="G163" s="720">
        <v>90</v>
      </c>
      <c r="H163" s="720">
        <v>1</v>
      </c>
      <c r="I163" s="720">
        <v>45</v>
      </c>
      <c r="J163" s="720">
        <v>2</v>
      </c>
      <c r="K163" s="720">
        <v>90</v>
      </c>
      <c r="L163" s="720">
        <v>1</v>
      </c>
      <c r="M163" s="720">
        <v>45</v>
      </c>
      <c r="N163" s="720">
        <v>4</v>
      </c>
      <c r="O163" s="720">
        <v>180</v>
      </c>
      <c r="P163" s="745">
        <v>2</v>
      </c>
      <c r="Q163" s="721">
        <v>45</v>
      </c>
    </row>
    <row r="164" spans="1:17" ht="14.45" customHeight="1" x14ac:dyDescent="0.2">
      <c r="A164" s="715" t="s">
        <v>4440</v>
      </c>
      <c r="B164" s="716" t="s">
        <v>4441</v>
      </c>
      <c r="C164" s="716" t="s">
        <v>3029</v>
      </c>
      <c r="D164" s="716" t="s">
        <v>4640</v>
      </c>
      <c r="E164" s="716" t="s">
        <v>4641</v>
      </c>
      <c r="F164" s="720">
        <v>6</v>
      </c>
      <c r="G164" s="720">
        <v>276</v>
      </c>
      <c r="H164" s="720">
        <v>0.8571428571428571</v>
      </c>
      <c r="I164" s="720">
        <v>46</v>
      </c>
      <c r="J164" s="720">
        <v>7</v>
      </c>
      <c r="K164" s="720">
        <v>322</v>
      </c>
      <c r="L164" s="720">
        <v>1</v>
      </c>
      <c r="M164" s="720">
        <v>46</v>
      </c>
      <c r="N164" s="720">
        <v>7</v>
      </c>
      <c r="O164" s="720">
        <v>322</v>
      </c>
      <c r="P164" s="745">
        <v>1</v>
      </c>
      <c r="Q164" s="721">
        <v>46</v>
      </c>
    </row>
    <row r="165" spans="1:17" ht="14.45" customHeight="1" x14ac:dyDescent="0.2">
      <c r="A165" s="715" t="s">
        <v>4440</v>
      </c>
      <c r="B165" s="716" t="s">
        <v>4441</v>
      </c>
      <c r="C165" s="716" t="s">
        <v>3029</v>
      </c>
      <c r="D165" s="716" t="s">
        <v>4642</v>
      </c>
      <c r="E165" s="716" t="s">
        <v>4643</v>
      </c>
      <c r="F165" s="720">
        <v>3</v>
      </c>
      <c r="G165" s="720">
        <v>1584</v>
      </c>
      <c r="H165" s="720"/>
      <c r="I165" s="720">
        <v>528</v>
      </c>
      <c r="J165" s="720"/>
      <c r="K165" s="720"/>
      <c r="L165" s="720"/>
      <c r="M165" s="720"/>
      <c r="N165" s="720"/>
      <c r="O165" s="720"/>
      <c r="P165" s="745"/>
      <c r="Q165" s="721"/>
    </row>
    <row r="166" spans="1:17" ht="14.45" customHeight="1" x14ac:dyDescent="0.2">
      <c r="A166" s="715" t="s">
        <v>4440</v>
      </c>
      <c r="B166" s="716" t="s">
        <v>4441</v>
      </c>
      <c r="C166" s="716" t="s">
        <v>3029</v>
      </c>
      <c r="D166" s="716" t="s">
        <v>4644</v>
      </c>
      <c r="E166" s="716" t="s">
        <v>4645</v>
      </c>
      <c r="F166" s="720">
        <v>1</v>
      </c>
      <c r="G166" s="720">
        <v>31</v>
      </c>
      <c r="H166" s="720">
        <v>0.5</v>
      </c>
      <c r="I166" s="720">
        <v>31</v>
      </c>
      <c r="J166" s="720">
        <v>2</v>
      </c>
      <c r="K166" s="720">
        <v>62</v>
      </c>
      <c r="L166" s="720">
        <v>1</v>
      </c>
      <c r="M166" s="720">
        <v>31</v>
      </c>
      <c r="N166" s="720">
        <v>3</v>
      </c>
      <c r="O166" s="720">
        <v>93</v>
      </c>
      <c r="P166" s="745">
        <v>1.5</v>
      </c>
      <c r="Q166" s="721">
        <v>31</v>
      </c>
    </row>
    <row r="167" spans="1:17" ht="14.45" customHeight="1" x14ac:dyDescent="0.2">
      <c r="A167" s="715" t="s">
        <v>4440</v>
      </c>
      <c r="B167" s="716" t="s">
        <v>4441</v>
      </c>
      <c r="C167" s="716" t="s">
        <v>3029</v>
      </c>
      <c r="D167" s="716" t="s">
        <v>4646</v>
      </c>
      <c r="E167" s="716" t="s">
        <v>4647</v>
      </c>
      <c r="F167" s="720">
        <v>5</v>
      </c>
      <c r="G167" s="720">
        <v>130</v>
      </c>
      <c r="H167" s="720">
        <v>1.6666666666666667</v>
      </c>
      <c r="I167" s="720">
        <v>26</v>
      </c>
      <c r="J167" s="720">
        <v>3</v>
      </c>
      <c r="K167" s="720">
        <v>78</v>
      </c>
      <c r="L167" s="720">
        <v>1</v>
      </c>
      <c r="M167" s="720">
        <v>26</v>
      </c>
      <c r="N167" s="720">
        <v>7</v>
      </c>
      <c r="O167" s="720">
        <v>182</v>
      </c>
      <c r="P167" s="745">
        <v>2.3333333333333335</v>
      </c>
      <c r="Q167" s="721">
        <v>26</v>
      </c>
    </row>
    <row r="168" spans="1:17" ht="14.45" customHeight="1" x14ac:dyDescent="0.2">
      <c r="A168" s="715" t="s">
        <v>4440</v>
      </c>
      <c r="B168" s="716" t="s">
        <v>4441</v>
      </c>
      <c r="C168" s="716" t="s">
        <v>3029</v>
      </c>
      <c r="D168" s="716" t="s">
        <v>4648</v>
      </c>
      <c r="E168" s="716" t="s">
        <v>4649</v>
      </c>
      <c r="F168" s="720">
        <v>2</v>
      </c>
      <c r="G168" s="720">
        <v>814</v>
      </c>
      <c r="H168" s="720"/>
      <c r="I168" s="720">
        <v>407</v>
      </c>
      <c r="J168" s="720"/>
      <c r="K168" s="720"/>
      <c r="L168" s="720"/>
      <c r="M168" s="720"/>
      <c r="N168" s="720"/>
      <c r="O168" s="720"/>
      <c r="P168" s="745"/>
      <c r="Q168" s="721"/>
    </row>
    <row r="169" spans="1:17" ht="14.45" customHeight="1" x14ac:dyDescent="0.2">
      <c r="A169" s="715" t="s">
        <v>4440</v>
      </c>
      <c r="B169" s="716" t="s">
        <v>4441</v>
      </c>
      <c r="C169" s="716" t="s">
        <v>3029</v>
      </c>
      <c r="D169" s="716" t="s">
        <v>4650</v>
      </c>
      <c r="E169" s="716" t="s">
        <v>4651</v>
      </c>
      <c r="F169" s="720">
        <v>2</v>
      </c>
      <c r="G169" s="720">
        <v>380</v>
      </c>
      <c r="H169" s="720"/>
      <c r="I169" s="720">
        <v>190</v>
      </c>
      <c r="J169" s="720"/>
      <c r="K169" s="720"/>
      <c r="L169" s="720"/>
      <c r="M169" s="720"/>
      <c r="N169" s="720">
        <v>1</v>
      </c>
      <c r="O169" s="720">
        <v>190</v>
      </c>
      <c r="P169" s="745"/>
      <c r="Q169" s="721">
        <v>190</v>
      </c>
    </row>
    <row r="170" spans="1:17" ht="14.45" customHeight="1" x14ac:dyDescent="0.2">
      <c r="A170" s="715" t="s">
        <v>4440</v>
      </c>
      <c r="B170" s="716" t="s">
        <v>4441</v>
      </c>
      <c r="C170" s="716" t="s">
        <v>3029</v>
      </c>
      <c r="D170" s="716" t="s">
        <v>4652</v>
      </c>
      <c r="E170" s="716" t="s">
        <v>4653</v>
      </c>
      <c r="F170" s="720">
        <v>5</v>
      </c>
      <c r="G170" s="720">
        <v>1370</v>
      </c>
      <c r="H170" s="720">
        <v>0.62671546203110706</v>
      </c>
      <c r="I170" s="720">
        <v>274</v>
      </c>
      <c r="J170" s="720">
        <v>8</v>
      </c>
      <c r="K170" s="720">
        <v>2186</v>
      </c>
      <c r="L170" s="720">
        <v>1</v>
      </c>
      <c r="M170" s="720">
        <v>273.25</v>
      </c>
      <c r="N170" s="720">
        <v>7</v>
      </c>
      <c r="O170" s="720">
        <v>1918</v>
      </c>
      <c r="P170" s="745">
        <v>0.87740164684354982</v>
      </c>
      <c r="Q170" s="721">
        <v>274</v>
      </c>
    </row>
    <row r="171" spans="1:17" ht="14.45" customHeight="1" x14ac:dyDescent="0.2">
      <c r="A171" s="715" t="s">
        <v>4440</v>
      </c>
      <c r="B171" s="716" t="s">
        <v>4441</v>
      </c>
      <c r="C171" s="716" t="s">
        <v>3029</v>
      </c>
      <c r="D171" s="716" t="s">
        <v>4654</v>
      </c>
      <c r="E171" s="716" t="s">
        <v>4655</v>
      </c>
      <c r="F171" s="720">
        <v>13</v>
      </c>
      <c r="G171" s="720">
        <v>1729</v>
      </c>
      <c r="H171" s="720">
        <v>4.333333333333333</v>
      </c>
      <c r="I171" s="720">
        <v>133</v>
      </c>
      <c r="J171" s="720">
        <v>3</v>
      </c>
      <c r="K171" s="720">
        <v>399</v>
      </c>
      <c r="L171" s="720">
        <v>1</v>
      </c>
      <c r="M171" s="720">
        <v>133</v>
      </c>
      <c r="N171" s="720">
        <v>10</v>
      </c>
      <c r="O171" s="720">
        <v>1330</v>
      </c>
      <c r="P171" s="745">
        <v>3.3333333333333335</v>
      </c>
      <c r="Q171" s="721">
        <v>133</v>
      </c>
    </row>
    <row r="172" spans="1:17" ht="14.45" customHeight="1" x14ac:dyDescent="0.2">
      <c r="A172" s="715" t="s">
        <v>4440</v>
      </c>
      <c r="B172" s="716" t="s">
        <v>4441</v>
      </c>
      <c r="C172" s="716" t="s">
        <v>3029</v>
      </c>
      <c r="D172" s="716" t="s">
        <v>4656</v>
      </c>
      <c r="E172" s="716" t="s">
        <v>4657</v>
      </c>
      <c r="F172" s="720">
        <v>474</v>
      </c>
      <c r="G172" s="720">
        <v>17538</v>
      </c>
      <c r="H172" s="720">
        <v>1.0871559633027523</v>
      </c>
      <c r="I172" s="720">
        <v>37</v>
      </c>
      <c r="J172" s="720">
        <v>436</v>
      </c>
      <c r="K172" s="720">
        <v>16132</v>
      </c>
      <c r="L172" s="720">
        <v>1</v>
      </c>
      <c r="M172" s="720">
        <v>37</v>
      </c>
      <c r="N172" s="720">
        <v>431</v>
      </c>
      <c r="O172" s="720">
        <v>15947</v>
      </c>
      <c r="P172" s="745">
        <v>0.98853211009174313</v>
      </c>
      <c r="Q172" s="721">
        <v>37</v>
      </c>
    </row>
    <row r="173" spans="1:17" ht="14.45" customHeight="1" x14ac:dyDescent="0.2">
      <c r="A173" s="715" t="s">
        <v>4440</v>
      </c>
      <c r="B173" s="716" t="s">
        <v>4441</v>
      </c>
      <c r="C173" s="716" t="s">
        <v>3029</v>
      </c>
      <c r="D173" s="716" t="s">
        <v>4658</v>
      </c>
      <c r="E173" s="716" t="s">
        <v>4659</v>
      </c>
      <c r="F173" s="720"/>
      <c r="G173" s="720"/>
      <c r="H173" s="720"/>
      <c r="I173" s="720"/>
      <c r="J173" s="720">
        <v>1</v>
      </c>
      <c r="K173" s="720">
        <v>171</v>
      </c>
      <c r="L173" s="720">
        <v>1</v>
      </c>
      <c r="M173" s="720">
        <v>171</v>
      </c>
      <c r="N173" s="720">
        <v>1</v>
      </c>
      <c r="O173" s="720">
        <v>171</v>
      </c>
      <c r="P173" s="745">
        <v>1</v>
      </c>
      <c r="Q173" s="721">
        <v>171</v>
      </c>
    </row>
    <row r="174" spans="1:17" ht="14.45" customHeight="1" x14ac:dyDescent="0.2">
      <c r="A174" s="715" t="s">
        <v>4440</v>
      </c>
      <c r="B174" s="716" t="s">
        <v>4441</v>
      </c>
      <c r="C174" s="716" t="s">
        <v>3029</v>
      </c>
      <c r="D174" s="716" t="s">
        <v>4660</v>
      </c>
      <c r="E174" s="716" t="s">
        <v>4661</v>
      </c>
      <c r="F174" s="720">
        <v>1</v>
      </c>
      <c r="G174" s="720">
        <v>232</v>
      </c>
      <c r="H174" s="720">
        <v>0.99570815450643779</v>
      </c>
      <c r="I174" s="720">
        <v>232</v>
      </c>
      <c r="J174" s="720">
        <v>1</v>
      </c>
      <c r="K174" s="720">
        <v>233</v>
      </c>
      <c r="L174" s="720">
        <v>1</v>
      </c>
      <c r="M174" s="720">
        <v>233</v>
      </c>
      <c r="N174" s="720"/>
      <c r="O174" s="720"/>
      <c r="P174" s="745"/>
      <c r="Q174" s="721"/>
    </row>
    <row r="175" spans="1:17" ht="14.45" customHeight="1" x14ac:dyDescent="0.2">
      <c r="A175" s="715" t="s">
        <v>4440</v>
      </c>
      <c r="B175" s="716" t="s">
        <v>4441</v>
      </c>
      <c r="C175" s="716" t="s">
        <v>3029</v>
      </c>
      <c r="D175" s="716" t="s">
        <v>4662</v>
      </c>
      <c r="E175" s="716" t="s">
        <v>4663</v>
      </c>
      <c r="F175" s="720">
        <v>1</v>
      </c>
      <c r="G175" s="720">
        <v>930</v>
      </c>
      <c r="H175" s="720">
        <v>1</v>
      </c>
      <c r="I175" s="720">
        <v>930</v>
      </c>
      <c r="J175" s="720">
        <v>1</v>
      </c>
      <c r="K175" s="720">
        <v>930</v>
      </c>
      <c r="L175" s="720">
        <v>1</v>
      </c>
      <c r="M175" s="720">
        <v>930</v>
      </c>
      <c r="N175" s="720"/>
      <c r="O175" s="720"/>
      <c r="P175" s="745"/>
      <c r="Q175" s="721"/>
    </row>
    <row r="176" spans="1:17" ht="14.45" customHeight="1" x14ac:dyDescent="0.2">
      <c r="A176" s="715" t="s">
        <v>4440</v>
      </c>
      <c r="B176" s="716" t="s">
        <v>4441</v>
      </c>
      <c r="C176" s="716" t="s">
        <v>3029</v>
      </c>
      <c r="D176" s="716" t="s">
        <v>4664</v>
      </c>
      <c r="E176" s="716" t="s">
        <v>4665</v>
      </c>
      <c r="F176" s="720">
        <v>1</v>
      </c>
      <c r="G176" s="720">
        <v>932</v>
      </c>
      <c r="H176" s="720">
        <v>1</v>
      </c>
      <c r="I176" s="720">
        <v>932</v>
      </c>
      <c r="J176" s="720">
        <v>1</v>
      </c>
      <c r="K176" s="720">
        <v>932</v>
      </c>
      <c r="L176" s="720">
        <v>1</v>
      </c>
      <c r="M176" s="720">
        <v>932</v>
      </c>
      <c r="N176" s="720"/>
      <c r="O176" s="720"/>
      <c r="P176" s="745"/>
      <c r="Q176" s="721"/>
    </row>
    <row r="177" spans="1:17" ht="14.45" customHeight="1" x14ac:dyDescent="0.2">
      <c r="A177" s="715" t="s">
        <v>4440</v>
      </c>
      <c r="B177" s="716" t="s">
        <v>4441</v>
      </c>
      <c r="C177" s="716" t="s">
        <v>3029</v>
      </c>
      <c r="D177" s="716" t="s">
        <v>4666</v>
      </c>
      <c r="E177" s="716" t="s">
        <v>4667</v>
      </c>
      <c r="F177" s="720">
        <v>24</v>
      </c>
      <c r="G177" s="720">
        <v>2232</v>
      </c>
      <c r="H177" s="720">
        <v>1.3333333333333333</v>
      </c>
      <c r="I177" s="720">
        <v>93</v>
      </c>
      <c r="J177" s="720">
        <v>18</v>
      </c>
      <c r="K177" s="720">
        <v>1674</v>
      </c>
      <c r="L177" s="720">
        <v>1</v>
      </c>
      <c r="M177" s="720">
        <v>93</v>
      </c>
      <c r="N177" s="720">
        <v>30</v>
      </c>
      <c r="O177" s="720">
        <v>2820</v>
      </c>
      <c r="P177" s="745">
        <v>1.6845878136200716</v>
      </c>
      <c r="Q177" s="721">
        <v>94</v>
      </c>
    </row>
    <row r="178" spans="1:17" ht="14.45" customHeight="1" x14ac:dyDescent="0.2">
      <c r="A178" s="715" t="s">
        <v>4440</v>
      </c>
      <c r="B178" s="716" t="s">
        <v>4441</v>
      </c>
      <c r="C178" s="716" t="s">
        <v>3029</v>
      </c>
      <c r="D178" s="716" t="s">
        <v>4668</v>
      </c>
      <c r="E178" s="716" t="s">
        <v>4669</v>
      </c>
      <c r="F178" s="720"/>
      <c r="G178" s="720"/>
      <c r="H178" s="720"/>
      <c r="I178" s="720"/>
      <c r="J178" s="720">
        <v>4</v>
      </c>
      <c r="K178" s="720">
        <v>3768</v>
      </c>
      <c r="L178" s="720">
        <v>1</v>
      </c>
      <c r="M178" s="720">
        <v>942</v>
      </c>
      <c r="N178" s="720">
        <v>4</v>
      </c>
      <c r="O178" s="720">
        <v>3768</v>
      </c>
      <c r="P178" s="745">
        <v>1</v>
      </c>
      <c r="Q178" s="721">
        <v>942</v>
      </c>
    </row>
    <row r="179" spans="1:17" ht="14.45" customHeight="1" x14ac:dyDescent="0.2">
      <c r="A179" s="715" t="s">
        <v>4440</v>
      </c>
      <c r="B179" s="716" t="s">
        <v>4441</v>
      </c>
      <c r="C179" s="716" t="s">
        <v>3029</v>
      </c>
      <c r="D179" s="716" t="s">
        <v>4670</v>
      </c>
      <c r="E179" s="716" t="s">
        <v>4671</v>
      </c>
      <c r="F179" s="720"/>
      <c r="G179" s="720"/>
      <c r="H179" s="720"/>
      <c r="I179" s="720"/>
      <c r="J179" s="720">
        <v>1</v>
      </c>
      <c r="K179" s="720">
        <v>93</v>
      </c>
      <c r="L179" s="720">
        <v>1</v>
      </c>
      <c r="M179" s="720">
        <v>93</v>
      </c>
      <c r="N179" s="720">
        <v>1</v>
      </c>
      <c r="O179" s="720">
        <v>94</v>
      </c>
      <c r="P179" s="745">
        <v>1.010752688172043</v>
      </c>
      <c r="Q179" s="721">
        <v>94</v>
      </c>
    </row>
    <row r="180" spans="1:17" ht="14.45" customHeight="1" x14ac:dyDescent="0.2">
      <c r="A180" s="715" t="s">
        <v>4440</v>
      </c>
      <c r="B180" s="716" t="s">
        <v>4441</v>
      </c>
      <c r="C180" s="716" t="s">
        <v>3029</v>
      </c>
      <c r="D180" s="716" t="s">
        <v>4672</v>
      </c>
      <c r="E180" s="716" t="s">
        <v>4673</v>
      </c>
      <c r="F180" s="720"/>
      <c r="G180" s="720"/>
      <c r="H180" s="720"/>
      <c r="I180" s="720"/>
      <c r="J180" s="720"/>
      <c r="K180" s="720"/>
      <c r="L180" s="720"/>
      <c r="M180" s="720"/>
      <c r="N180" s="720">
        <v>61</v>
      </c>
      <c r="O180" s="720">
        <v>32513</v>
      </c>
      <c r="P180" s="745"/>
      <c r="Q180" s="721">
        <v>533</v>
      </c>
    </row>
    <row r="181" spans="1:17" ht="14.45" customHeight="1" x14ac:dyDescent="0.2">
      <c r="A181" s="715" t="s">
        <v>4440</v>
      </c>
      <c r="B181" s="716" t="s">
        <v>4674</v>
      </c>
      <c r="C181" s="716" t="s">
        <v>3029</v>
      </c>
      <c r="D181" s="716" t="s">
        <v>4675</v>
      </c>
      <c r="E181" s="716" t="s">
        <v>4676</v>
      </c>
      <c r="F181" s="720">
        <v>6</v>
      </c>
      <c r="G181" s="720">
        <v>6228</v>
      </c>
      <c r="H181" s="720">
        <v>0.46153846153846156</v>
      </c>
      <c r="I181" s="720">
        <v>1038</v>
      </c>
      <c r="J181" s="720">
        <v>13</v>
      </c>
      <c r="K181" s="720">
        <v>13494</v>
      </c>
      <c r="L181" s="720">
        <v>1</v>
      </c>
      <c r="M181" s="720">
        <v>1038</v>
      </c>
      <c r="N181" s="720">
        <v>16</v>
      </c>
      <c r="O181" s="720">
        <v>16624</v>
      </c>
      <c r="P181" s="745">
        <v>1.231954942937602</v>
      </c>
      <c r="Q181" s="721">
        <v>1039</v>
      </c>
    </row>
    <row r="182" spans="1:17" ht="14.45" customHeight="1" x14ac:dyDescent="0.2">
      <c r="A182" s="715" t="s">
        <v>4677</v>
      </c>
      <c r="B182" s="716" t="s">
        <v>4318</v>
      </c>
      <c r="C182" s="716" t="s">
        <v>3421</v>
      </c>
      <c r="D182" s="716" t="s">
        <v>4678</v>
      </c>
      <c r="E182" s="716" t="s">
        <v>4679</v>
      </c>
      <c r="F182" s="720">
        <v>1</v>
      </c>
      <c r="G182" s="720">
        <v>2590.5300000000002</v>
      </c>
      <c r="H182" s="720"/>
      <c r="I182" s="720">
        <v>2590.5300000000002</v>
      </c>
      <c r="J182" s="720"/>
      <c r="K182" s="720"/>
      <c r="L182" s="720"/>
      <c r="M182" s="720"/>
      <c r="N182" s="720"/>
      <c r="O182" s="720"/>
      <c r="P182" s="745"/>
      <c r="Q182" s="721"/>
    </row>
    <row r="183" spans="1:17" ht="14.45" customHeight="1" x14ac:dyDescent="0.2">
      <c r="A183" s="715" t="s">
        <v>4677</v>
      </c>
      <c r="B183" s="716" t="s">
        <v>4318</v>
      </c>
      <c r="C183" s="716" t="s">
        <v>3421</v>
      </c>
      <c r="D183" s="716" t="s">
        <v>4680</v>
      </c>
      <c r="E183" s="716" t="s">
        <v>4679</v>
      </c>
      <c r="F183" s="720">
        <v>0.2</v>
      </c>
      <c r="G183" s="720">
        <v>1295.26</v>
      </c>
      <c r="H183" s="720"/>
      <c r="I183" s="720">
        <v>6476.2999999999993</v>
      </c>
      <c r="J183" s="720"/>
      <c r="K183" s="720"/>
      <c r="L183" s="720"/>
      <c r="M183" s="720"/>
      <c r="N183" s="720"/>
      <c r="O183" s="720"/>
      <c r="P183" s="745"/>
      <c r="Q183" s="721"/>
    </row>
    <row r="184" spans="1:17" ht="14.45" customHeight="1" x14ac:dyDescent="0.2">
      <c r="A184" s="715" t="s">
        <v>4677</v>
      </c>
      <c r="B184" s="716" t="s">
        <v>4318</v>
      </c>
      <c r="C184" s="716" t="s">
        <v>3421</v>
      </c>
      <c r="D184" s="716" t="s">
        <v>3429</v>
      </c>
      <c r="E184" s="716" t="s">
        <v>3430</v>
      </c>
      <c r="F184" s="720">
        <v>0.38</v>
      </c>
      <c r="G184" s="720">
        <v>1878.69</v>
      </c>
      <c r="H184" s="720">
        <v>2.7270074899843237</v>
      </c>
      <c r="I184" s="720">
        <v>4943.9210526315792</v>
      </c>
      <c r="J184" s="720">
        <v>0.14000000000000001</v>
      </c>
      <c r="K184" s="720">
        <v>688.92</v>
      </c>
      <c r="L184" s="720">
        <v>1</v>
      </c>
      <c r="M184" s="720">
        <v>4920.8571428571422</v>
      </c>
      <c r="N184" s="720">
        <v>0.26</v>
      </c>
      <c r="O184" s="720">
        <v>1264.42</v>
      </c>
      <c r="P184" s="745">
        <v>1.8353654996225979</v>
      </c>
      <c r="Q184" s="721">
        <v>4863.1538461538466</v>
      </c>
    </row>
    <row r="185" spans="1:17" ht="14.45" customHeight="1" x14ac:dyDescent="0.2">
      <c r="A185" s="715" t="s">
        <v>4677</v>
      </c>
      <c r="B185" s="716" t="s">
        <v>4318</v>
      </c>
      <c r="C185" s="716" t="s">
        <v>3421</v>
      </c>
      <c r="D185" s="716" t="s">
        <v>4681</v>
      </c>
      <c r="E185" s="716" t="s">
        <v>4682</v>
      </c>
      <c r="F185" s="720">
        <v>14.399999999999999</v>
      </c>
      <c r="G185" s="720">
        <v>14469.52</v>
      </c>
      <c r="H185" s="720"/>
      <c r="I185" s="720">
        <v>1004.8277777777779</v>
      </c>
      <c r="J185" s="720"/>
      <c r="K185" s="720"/>
      <c r="L185" s="720"/>
      <c r="M185" s="720"/>
      <c r="N185" s="720"/>
      <c r="O185" s="720"/>
      <c r="P185" s="745"/>
      <c r="Q185" s="721"/>
    </row>
    <row r="186" spans="1:17" ht="14.45" customHeight="1" x14ac:dyDescent="0.2">
      <c r="A186" s="715" t="s">
        <v>4677</v>
      </c>
      <c r="B186" s="716" t="s">
        <v>4318</v>
      </c>
      <c r="C186" s="716" t="s">
        <v>3421</v>
      </c>
      <c r="D186" s="716" t="s">
        <v>4683</v>
      </c>
      <c r="E186" s="716" t="s">
        <v>3430</v>
      </c>
      <c r="F186" s="720">
        <v>3.9899999999999993</v>
      </c>
      <c r="G186" s="720">
        <v>39452.620000000003</v>
      </c>
      <c r="H186" s="720">
        <v>1.1212105882994883</v>
      </c>
      <c r="I186" s="720">
        <v>9887.8746867167938</v>
      </c>
      <c r="J186" s="720">
        <v>3.85</v>
      </c>
      <c r="K186" s="720">
        <v>35187.519999999997</v>
      </c>
      <c r="L186" s="720">
        <v>1</v>
      </c>
      <c r="M186" s="720">
        <v>9139.6155844155837</v>
      </c>
      <c r="N186" s="720">
        <v>4.96</v>
      </c>
      <c r="O186" s="720">
        <v>43352.280000000006</v>
      </c>
      <c r="P186" s="745">
        <v>1.2320356762852287</v>
      </c>
      <c r="Q186" s="721">
        <v>8740.3790322580662</v>
      </c>
    </row>
    <row r="187" spans="1:17" ht="14.45" customHeight="1" x14ac:dyDescent="0.2">
      <c r="A187" s="715" t="s">
        <v>4677</v>
      </c>
      <c r="B187" s="716" t="s">
        <v>4318</v>
      </c>
      <c r="C187" s="716" t="s">
        <v>3421</v>
      </c>
      <c r="D187" s="716" t="s">
        <v>4684</v>
      </c>
      <c r="E187" s="716" t="s">
        <v>4685</v>
      </c>
      <c r="F187" s="720"/>
      <c r="G187" s="720"/>
      <c r="H187" s="720"/>
      <c r="I187" s="720"/>
      <c r="J187" s="720">
        <v>2</v>
      </c>
      <c r="K187" s="720">
        <v>10379.6</v>
      </c>
      <c r="L187" s="720">
        <v>1</v>
      </c>
      <c r="M187" s="720">
        <v>5189.8</v>
      </c>
      <c r="N187" s="720">
        <v>1</v>
      </c>
      <c r="O187" s="720">
        <v>5176.3500000000004</v>
      </c>
      <c r="P187" s="745">
        <v>0.49870418898608809</v>
      </c>
      <c r="Q187" s="721">
        <v>5176.3500000000004</v>
      </c>
    </row>
    <row r="188" spans="1:17" ht="14.45" customHeight="1" x14ac:dyDescent="0.2">
      <c r="A188" s="715" t="s">
        <v>4677</v>
      </c>
      <c r="B188" s="716" t="s">
        <v>4318</v>
      </c>
      <c r="C188" s="716" t="s">
        <v>3421</v>
      </c>
      <c r="D188" s="716" t="s">
        <v>4686</v>
      </c>
      <c r="E188" s="716" t="s">
        <v>3543</v>
      </c>
      <c r="F188" s="720">
        <v>0.32000000000000006</v>
      </c>
      <c r="G188" s="720">
        <v>1464.3099999999997</v>
      </c>
      <c r="H188" s="720">
        <v>0.70655305022509363</v>
      </c>
      <c r="I188" s="720">
        <v>4575.9687499999982</v>
      </c>
      <c r="J188" s="720">
        <v>0.87</v>
      </c>
      <c r="K188" s="720">
        <v>2072.4699999999998</v>
      </c>
      <c r="L188" s="720">
        <v>1</v>
      </c>
      <c r="M188" s="720">
        <v>2382.1494252873563</v>
      </c>
      <c r="N188" s="720"/>
      <c r="O188" s="720"/>
      <c r="P188" s="745"/>
      <c r="Q188" s="721"/>
    </row>
    <row r="189" spans="1:17" ht="14.45" customHeight="1" x14ac:dyDescent="0.2">
      <c r="A189" s="715" t="s">
        <v>4677</v>
      </c>
      <c r="B189" s="716" t="s">
        <v>4318</v>
      </c>
      <c r="C189" s="716" t="s">
        <v>3421</v>
      </c>
      <c r="D189" s="716" t="s">
        <v>4687</v>
      </c>
      <c r="E189" s="716" t="s">
        <v>3543</v>
      </c>
      <c r="F189" s="720">
        <v>0.5</v>
      </c>
      <c r="G189" s="720">
        <v>4547.57</v>
      </c>
      <c r="H189" s="720">
        <v>2.8668503271846983</v>
      </c>
      <c r="I189" s="720">
        <v>9095.14</v>
      </c>
      <c r="J189" s="720">
        <v>0.2</v>
      </c>
      <c r="K189" s="720">
        <v>1586.26</v>
      </c>
      <c r="L189" s="720">
        <v>1</v>
      </c>
      <c r="M189" s="720">
        <v>7931.2999999999993</v>
      </c>
      <c r="N189" s="720"/>
      <c r="O189" s="720"/>
      <c r="P189" s="745"/>
      <c r="Q189" s="721"/>
    </row>
    <row r="190" spans="1:17" ht="14.45" customHeight="1" x14ac:dyDescent="0.2">
      <c r="A190" s="715" t="s">
        <v>4677</v>
      </c>
      <c r="B190" s="716" t="s">
        <v>4318</v>
      </c>
      <c r="C190" s="716" t="s">
        <v>3421</v>
      </c>
      <c r="D190" s="716" t="s">
        <v>4688</v>
      </c>
      <c r="E190" s="716" t="s">
        <v>4689</v>
      </c>
      <c r="F190" s="720">
        <v>2.9200000000000004</v>
      </c>
      <c r="G190" s="720">
        <v>5691.9500000000007</v>
      </c>
      <c r="H190" s="720">
        <v>3.5295193685006852</v>
      </c>
      <c r="I190" s="720">
        <v>1949.2979452054794</v>
      </c>
      <c r="J190" s="720">
        <v>0.9</v>
      </c>
      <c r="K190" s="720">
        <v>1612.6700000000003</v>
      </c>
      <c r="L190" s="720">
        <v>1</v>
      </c>
      <c r="M190" s="720">
        <v>1791.8555555555558</v>
      </c>
      <c r="N190" s="720"/>
      <c r="O190" s="720"/>
      <c r="P190" s="745"/>
      <c r="Q190" s="721"/>
    </row>
    <row r="191" spans="1:17" ht="14.45" customHeight="1" x14ac:dyDescent="0.2">
      <c r="A191" s="715" t="s">
        <v>4677</v>
      </c>
      <c r="B191" s="716" t="s">
        <v>4318</v>
      </c>
      <c r="C191" s="716" t="s">
        <v>3421</v>
      </c>
      <c r="D191" s="716" t="s">
        <v>4690</v>
      </c>
      <c r="E191" s="716" t="s">
        <v>3543</v>
      </c>
      <c r="F191" s="720">
        <v>17.3</v>
      </c>
      <c r="G191" s="720">
        <v>31469.289999999997</v>
      </c>
      <c r="H191" s="720">
        <v>0.82016376540545721</v>
      </c>
      <c r="I191" s="720">
        <v>1819.0341040462426</v>
      </c>
      <c r="J191" s="720">
        <v>28.710000000000004</v>
      </c>
      <c r="K191" s="720">
        <v>38369.519999999997</v>
      </c>
      <c r="L191" s="720">
        <v>1</v>
      </c>
      <c r="M191" s="720">
        <v>1336.4514106583069</v>
      </c>
      <c r="N191" s="720"/>
      <c r="O191" s="720"/>
      <c r="P191" s="745"/>
      <c r="Q191" s="721"/>
    </row>
    <row r="192" spans="1:17" ht="14.45" customHeight="1" x14ac:dyDescent="0.2">
      <c r="A192" s="715" t="s">
        <v>4677</v>
      </c>
      <c r="B192" s="716" t="s">
        <v>4318</v>
      </c>
      <c r="C192" s="716" t="s">
        <v>3421</v>
      </c>
      <c r="D192" s="716" t="s">
        <v>4691</v>
      </c>
      <c r="E192" s="716" t="s">
        <v>4692</v>
      </c>
      <c r="F192" s="720">
        <v>0.25</v>
      </c>
      <c r="G192" s="720">
        <v>129.4</v>
      </c>
      <c r="H192" s="720">
        <v>0.60278567102995295</v>
      </c>
      <c r="I192" s="720">
        <v>517.6</v>
      </c>
      <c r="J192" s="720">
        <v>0.44999999999999996</v>
      </c>
      <c r="K192" s="720">
        <v>214.67000000000002</v>
      </c>
      <c r="L192" s="720">
        <v>1</v>
      </c>
      <c r="M192" s="720">
        <v>477.04444444444454</v>
      </c>
      <c r="N192" s="720">
        <v>0.44999999999999996</v>
      </c>
      <c r="O192" s="720">
        <v>212.8</v>
      </c>
      <c r="P192" s="745">
        <v>0.99128895514044812</v>
      </c>
      <c r="Q192" s="721">
        <v>472.88888888888897</v>
      </c>
    </row>
    <row r="193" spans="1:17" ht="14.45" customHeight="1" x14ac:dyDescent="0.2">
      <c r="A193" s="715" t="s">
        <v>4677</v>
      </c>
      <c r="B193" s="716" t="s">
        <v>4318</v>
      </c>
      <c r="C193" s="716" t="s">
        <v>3421</v>
      </c>
      <c r="D193" s="716" t="s">
        <v>4693</v>
      </c>
      <c r="E193" s="716" t="s">
        <v>4694</v>
      </c>
      <c r="F193" s="720">
        <v>0.2</v>
      </c>
      <c r="G193" s="720">
        <v>180.76</v>
      </c>
      <c r="H193" s="720">
        <v>0.50871021304139818</v>
      </c>
      <c r="I193" s="720">
        <v>903.8</v>
      </c>
      <c r="J193" s="720">
        <v>0.43000000000000005</v>
      </c>
      <c r="K193" s="720">
        <v>355.33</v>
      </c>
      <c r="L193" s="720">
        <v>1</v>
      </c>
      <c r="M193" s="720">
        <v>826.34883720930225</v>
      </c>
      <c r="N193" s="720">
        <v>0.35000000000000003</v>
      </c>
      <c r="O193" s="720">
        <v>251.43999999999997</v>
      </c>
      <c r="P193" s="745">
        <v>0.70762389891087152</v>
      </c>
      <c r="Q193" s="721">
        <v>718.39999999999986</v>
      </c>
    </row>
    <row r="194" spans="1:17" ht="14.45" customHeight="1" x14ac:dyDescent="0.2">
      <c r="A194" s="715" t="s">
        <v>4677</v>
      </c>
      <c r="B194" s="716" t="s">
        <v>4318</v>
      </c>
      <c r="C194" s="716" t="s">
        <v>3421</v>
      </c>
      <c r="D194" s="716" t="s">
        <v>4695</v>
      </c>
      <c r="E194" s="716" t="s">
        <v>3543</v>
      </c>
      <c r="F194" s="720">
        <v>1.3100000000000003</v>
      </c>
      <c r="G194" s="720">
        <v>44457.079999999994</v>
      </c>
      <c r="H194" s="720">
        <v>2.4980224095081667</v>
      </c>
      <c r="I194" s="720">
        <v>33936.702290076326</v>
      </c>
      <c r="J194" s="720">
        <v>0.64000000000000012</v>
      </c>
      <c r="K194" s="720">
        <v>17796.910000000003</v>
      </c>
      <c r="L194" s="720">
        <v>1</v>
      </c>
      <c r="M194" s="720">
        <v>27807.671875</v>
      </c>
      <c r="N194" s="720"/>
      <c r="O194" s="720"/>
      <c r="P194" s="745"/>
      <c r="Q194" s="721"/>
    </row>
    <row r="195" spans="1:17" ht="14.45" customHeight="1" x14ac:dyDescent="0.2">
      <c r="A195" s="715" t="s">
        <v>4677</v>
      </c>
      <c r="B195" s="716" t="s">
        <v>4318</v>
      </c>
      <c r="C195" s="716" t="s">
        <v>3421</v>
      </c>
      <c r="D195" s="716" t="s">
        <v>4696</v>
      </c>
      <c r="E195" s="716" t="s">
        <v>3543</v>
      </c>
      <c r="F195" s="720"/>
      <c r="G195" s="720"/>
      <c r="H195" s="720"/>
      <c r="I195" s="720"/>
      <c r="J195" s="720">
        <v>11.16</v>
      </c>
      <c r="K195" s="720">
        <v>7315.5599999999995</v>
      </c>
      <c r="L195" s="720">
        <v>1</v>
      </c>
      <c r="M195" s="720">
        <v>655.51612903225805</v>
      </c>
      <c r="N195" s="720">
        <v>34.080000000000005</v>
      </c>
      <c r="O195" s="720">
        <v>22333.510000000002</v>
      </c>
      <c r="P195" s="745">
        <v>3.0528777017753943</v>
      </c>
      <c r="Q195" s="721">
        <v>655.32599765258215</v>
      </c>
    </row>
    <row r="196" spans="1:17" ht="14.45" customHeight="1" x14ac:dyDescent="0.2">
      <c r="A196" s="715" t="s">
        <v>4677</v>
      </c>
      <c r="B196" s="716" t="s">
        <v>4318</v>
      </c>
      <c r="C196" s="716" t="s">
        <v>3421</v>
      </c>
      <c r="D196" s="716" t="s">
        <v>4697</v>
      </c>
      <c r="E196" s="716" t="s">
        <v>3543</v>
      </c>
      <c r="F196" s="720"/>
      <c r="G196" s="720"/>
      <c r="H196" s="720"/>
      <c r="I196" s="720"/>
      <c r="J196" s="720">
        <v>0.24999999999999997</v>
      </c>
      <c r="K196" s="720">
        <v>2908.0600000000004</v>
      </c>
      <c r="L196" s="720">
        <v>1</v>
      </c>
      <c r="M196" s="720">
        <v>11632.240000000003</v>
      </c>
      <c r="N196" s="720">
        <v>1.2100000000000002</v>
      </c>
      <c r="O196" s="720">
        <v>14700.59</v>
      </c>
      <c r="P196" s="745">
        <v>5.0551192203737196</v>
      </c>
      <c r="Q196" s="721">
        <v>12149.247933884295</v>
      </c>
    </row>
    <row r="197" spans="1:17" ht="14.45" customHeight="1" x14ac:dyDescent="0.2">
      <c r="A197" s="715" t="s">
        <v>4677</v>
      </c>
      <c r="B197" s="716" t="s">
        <v>4318</v>
      </c>
      <c r="C197" s="716" t="s">
        <v>3421</v>
      </c>
      <c r="D197" s="716" t="s">
        <v>3542</v>
      </c>
      <c r="E197" s="716" t="s">
        <v>3543</v>
      </c>
      <c r="F197" s="720"/>
      <c r="G197" s="720"/>
      <c r="H197" s="720"/>
      <c r="I197" s="720"/>
      <c r="J197" s="720"/>
      <c r="K197" s="720"/>
      <c r="L197" s="720"/>
      <c r="M197" s="720"/>
      <c r="N197" s="720">
        <v>0.7</v>
      </c>
      <c r="O197" s="720">
        <v>1147.6300000000001</v>
      </c>
      <c r="P197" s="745"/>
      <c r="Q197" s="721">
        <v>1639.4714285714288</v>
      </c>
    </row>
    <row r="198" spans="1:17" ht="14.45" customHeight="1" x14ac:dyDescent="0.2">
      <c r="A198" s="715" t="s">
        <v>4677</v>
      </c>
      <c r="B198" s="716" t="s">
        <v>4318</v>
      </c>
      <c r="C198" s="716" t="s">
        <v>3421</v>
      </c>
      <c r="D198" s="716" t="s">
        <v>4698</v>
      </c>
      <c r="E198" s="716" t="s">
        <v>4679</v>
      </c>
      <c r="F198" s="720"/>
      <c r="G198" s="720"/>
      <c r="H198" s="720"/>
      <c r="I198" s="720"/>
      <c r="J198" s="720"/>
      <c r="K198" s="720"/>
      <c r="L198" s="720"/>
      <c r="M198" s="720"/>
      <c r="N198" s="720">
        <v>2.67</v>
      </c>
      <c r="O198" s="720">
        <v>3889.0699999999997</v>
      </c>
      <c r="P198" s="745"/>
      <c r="Q198" s="721">
        <v>1456.5805243445693</v>
      </c>
    </row>
    <row r="199" spans="1:17" ht="14.45" customHeight="1" x14ac:dyDescent="0.2">
      <c r="A199" s="715" t="s">
        <v>4677</v>
      </c>
      <c r="B199" s="716" t="s">
        <v>4318</v>
      </c>
      <c r="C199" s="716" t="s">
        <v>3421</v>
      </c>
      <c r="D199" s="716" t="s">
        <v>4699</v>
      </c>
      <c r="E199" s="716" t="s">
        <v>4679</v>
      </c>
      <c r="F199" s="720"/>
      <c r="G199" s="720"/>
      <c r="H199" s="720"/>
      <c r="I199" s="720"/>
      <c r="J199" s="720"/>
      <c r="K199" s="720"/>
      <c r="L199" s="720"/>
      <c r="M199" s="720"/>
      <c r="N199" s="720">
        <v>0.2</v>
      </c>
      <c r="O199" s="720">
        <v>728.21</v>
      </c>
      <c r="P199" s="745"/>
      <c r="Q199" s="721">
        <v>3641.05</v>
      </c>
    </row>
    <row r="200" spans="1:17" ht="14.45" customHeight="1" x14ac:dyDescent="0.2">
      <c r="A200" s="715" t="s">
        <v>4677</v>
      </c>
      <c r="B200" s="716" t="s">
        <v>4318</v>
      </c>
      <c r="C200" s="716" t="s">
        <v>3421</v>
      </c>
      <c r="D200" s="716" t="s">
        <v>4700</v>
      </c>
      <c r="E200" s="716" t="s">
        <v>4689</v>
      </c>
      <c r="F200" s="720"/>
      <c r="G200" s="720"/>
      <c r="H200" s="720"/>
      <c r="I200" s="720"/>
      <c r="J200" s="720">
        <v>0.1</v>
      </c>
      <c r="K200" s="720">
        <v>53.23</v>
      </c>
      <c r="L200" s="720">
        <v>1</v>
      </c>
      <c r="M200" s="720">
        <v>532.29999999999995</v>
      </c>
      <c r="N200" s="720">
        <v>3.5</v>
      </c>
      <c r="O200" s="720">
        <v>1863.0500000000002</v>
      </c>
      <c r="P200" s="745">
        <v>35.000000000000007</v>
      </c>
      <c r="Q200" s="721">
        <v>532.30000000000007</v>
      </c>
    </row>
    <row r="201" spans="1:17" ht="14.45" customHeight="1" x14ac:dyDescent="0.2">
      <c r="A201" s="715" t="s">
        <v>4677</v>
      </c>
      <c r="B201" s="716" t="s">
        <v>4318</v>
      </c>
      <c r="C201" s="716" t="s">
        <v>3421</v>
      </c>
      <c r="D201" s="716" t="s">
        <v>4701</v>
      </c>
      <c r="E201" s="716" t="s">
        <v>3543</v>
      </c>
      <c r="F201" s="720"/>
      <c r="G201" s="720"/>
      <c r="H201" s="720"/>
      <c r="I201" s="720"/>
      <c r="J201" s="720"/>
      <c r="K201" s="720"/>
      <c r="L201" s="720"/>
      <c r="M201" s="720"/>
      <c r="N201" s="720">
        <v>0.06</v>
      </c>
      <c r="O201" s="720">
        <v>196.56</v>
      </c>
      <c r="P201" s="745"/>
      <c r="Q201" s="721">
        <v>3276</v>
      </c>
    </row>
    <row r="202" spans="1:17" ht="14.45" customHeight="1" x14ac:dyDescent="0.2">
      <c r="A202" s="715" t="s">
        <v>4677</v>
      </c>
      <c r="B202" s="716" t="s">
        <v>4318</v>
      </c>
      <c r="C202" s="716" t="s">
        <v>3579</v>
      </c>
      <c r="D202" s="716" t="s">
        <v>4702</v>
      </c>
      <c r="E202" s="716" t="s">
        <v>4703</v>
      </c>
      <c r="F202" s="720"/>
      <c r="G202" s="720"/>
      <c r="H202" s="720"/>
      <c r="I202" s="720"/>
      <c r="J202" s="720">
        <v>5</v>
      </c>
      <c r="K202" s="720">
        <v>2947.95</v>
      </c>
      <c r="L202" s="720">
        <v>1</v>
      </c>
      <c r="M202" s="720">
        <v>589.58999999999992</v>
      </c>
      <c r="N202" s="720">
        <v>2</v>
      </c>
      <c r="O202" s="720">
        <v>900.08</v>
      </c>
      <c r="P202" s="745">
        <v>0.30532403873878461</v>
      </c>
      <c r="Q202" s="721">
        <v>450.04</v>
      </c>
    </row>
    <row r="203" spans="1:17" ht="14.45" customHeight="1" x14ac:dyDescent="0.2">
      <c r="A203" s="715" t="s">
        <v>4677</v>
      </c>
      <c r="B203" s="716" t="s">
        <v>4318</v>
      </c>
      <c r="C203" s="716" t="s">
        <v>3579</v>
      </c>
      <c r="D203" s="716" t="s">
        <v>4704</v>
      </c>
      <c r="E203" s="716" t="s">
        <v>3668</v>
      </c>
      <c r="F203" s="720">
        <v>8</v>
      </c>
      <c r="G203" s="720">
        <v>7778.56</v>
      </c>
      <c r="H203" s="720">
        <v>0.79999999999999993</v>
      </c>
      <c r="I203" s="720">
        <v>972.32</v>
      </c>
      <c r="J203" s="720">
        <v>10</v>
      </c>
      <c r="K203" s="720">
        <v>9723.2000000000007</v>
      </c>
      <c r="L203" s="720">
        <v>1</v>
      </c>
      <c r="M203" s="720">
        <v>972.32</v>
      </c>
      <c r="N203" s="720">
        <v>13</v>
      </c>
      <c r="O203" s="720">
        <v>11358.109999999999</v>
      </c>
      <c r="P203" s="745">
        <v>1.1681452608194831</v>
      </c>
      <c r="Q203" s="721">
        <v>873.70076923076908</v>
      </c>
    </row>
    <row r="204" spans="1:17" ht="14.45" customHeight="1" x14ac:dyDescent="0.2">
      <c r="A204" s="715" t="s">
        <v>4677</v>
      </c>
      <c r="B204" s="716" t="s">
        <v>4318</v>
      </c>
      <c r="C204" s="716" t="s">
        <v>3579</v>
      </c>
      <c r="D204" s="716" t="s">
        <v>4705</v>
      </c>
      <c r="E204" s="716" t="s">
        <v>3668</v>
      </c>
      <c r="F204" s="720"/>
      <c r="G204" s="720"/>
      <c r="H204" s="720"/>
      <c r="I204" s="720"/>
      <c r="J204" s="720"/>
      <c r="K204" s="720"/>
      <c r="L204" s="720"/>
      <c r="M204" s="720"/>
      <c r="N204" s="720">
        <v>1</v>
      </c>
      <c r="O204" s="720">
        <v>1408.42</v>
      </c>
      <c r="P204" s="745"/>
      <c r="Q204" s="721">
        <v>1408.42</v>
      </c>
    </row>
    <row r="205" spans="1:17" ht="14.45" customHeight="1" x14ac:dyDescent="0.2">
      <c r="A205" s="715" t="s">
        <v>4677</v>
      </c>
      <c r="B205" s="716" t="s">
        <v>4318</v>
      </c>
      <c r="C205" s="716" t="s">
        <v>3579</v>
      </c>
      <c r="D205" s="716" t="s">
        <v>3667</v>
      </c>
      <c r="E205" s="716" t="s">
        <v>3668</v>
      </c>
      <c r="F205" s="720">
        <v>31</v>
      </c>
      <c r="G205" s="720">
        <v>52926.610000000008</v>
      </c>
      <c r="H205" s="720">
        <v>1.7733798402080081</v>
      </c>
      <c r="I205" s="720">
        <v>1707.3100000000002</v>
      </c>
      <c r="J205" s="720">
        <v>26</v>
      </c>
      <c r="K205" s="720">
        <v>29845.05</v>
      </c>
      <c r="L205" s="720">
        <v>1</v>
      </c>
      <c r="M205" s="720">
        <v>1147.8865384615385</v>
      </c>
      <c r="N205" s="720">
        <v>34</v>
      </c>
      <c r="O205" s="720">
        <v>35021.699999999997</v>
      </c>
      <c r="P205" s="745">
        <v>1.1734508737629858</v>
      </c>
      <c r="Q205" s="721">
        <v>1030.05</v>
      </c>
    </row>
    <row r="206" spans="1:17" ht="14.45" customHeight="1" x14ac:dyDescent="0.2">
      <c r="A206" s="715" t="s">
        <v>4677</v>
      </c>
      <c r="B206" s="716" t="s">
        <v>4318</v>
      </c>
      <c r="C206" s="716" t="s">
        <v>3579</v>
      </c>
      <c r="D206" s="716" t="s">
        <v>4706</v>
      </c>
      <c r="E206" s="716" t="s">
        <v>3668</v>
      </c>
      <c r="F206" s="720">
        <v>11</v>
      </c>
      <c r="G206" s="720">
        <v>22729.300000000003</v>
      </c>
      <c r="H206" s="720">
        <v>3.1585932223645852</v>
      </c>
      <c r="I206" s="720">
        <v>2066.3000000000002</v>
      </c>
      <c r="J206" s="720">
        <v>5</v>
      </c>
      <c r="K206" s="720">
        <v>7196.02</v>
      </c>
      <c r="L206" s="720">
        <v>1</v>
      </c>
      <c r="M206" s="720">
        <v>1439.2040000000002</v>
      </c>
      <c r="N206" s="720">
        <v>6</v>
      </c>
      <c r="O206" s="720">
        <v>8506.8499999999985</v>
      </c>
      <c r="P206" s="745">
        <v>1.1821604164524275</v>
      </c>
      <c r="Q206" s="721">
        <v>1417.8083333333332</v>
      </c>
    </row>
    <row r="207" spans="1:17" ht="14.45" customHeight="1" x14ac:dyDescent="0.2">
      <c r="A207" s="715" t="s">
        <v>4677</v>
      </c>
      <c r="B207" s="716" t="s">
        <v>4318</v>
      </c>
      <c r="C207" s="716" t="s">
        <v>3579</v>
      </c>
      <c r="D207" s="716" t="s">
        <v>4707</v>
      </c>
      <c r="E207" s="716" t="s">
        <v>4708</v>
      </c>
      <c r="F207" s="720">
        <v>1</v>
      </c>
      <c r="G207" s="720">
        <v>1932.09</v>
      </c>
      <c r="H207" s="720"/>
      <c r="I207" s="720">
        <v>1932.09</v>
      </c>
      <c r="J207" s="720"/>
      <c r="K207" s="720"/>
      <c r="L207" s="720"/>
      <c r="M207" s="720"/>
      <c r="N207" s="720"/>
      <c r="O207" s="720"/>
      <c r="P207" s="745"/>
      <c r="Q207" s="721"/>
    </row>
    <row r="208" spans="1:17" ht="14.45" customHeight="1" x14ac:dyDescent="0.2">
      <c r="A208" s="715" t="s">
        <v>4677</v>
      </c>
      <c r="B208" s="716" t="s">
        <v>4318</v>
      </c>
      <c r="C208" s="716" t="s">
        <v>3579</v>
      </c>
      <c r="D208" s="716" t="s">
        <v>4709</v>
      </c>
      <c r="E208" s="716" t="s">
        <v>4710</v>
      </c>
      <c r="F208" s="720">
        <v>18</v>
      </c>
      <c r="G208" s="720">
        <v>18499.68</v>
      </c>
      <c r="H208" s="720">
        <v>3.2830887833549842</v>
      </c>
      <c r="I208" s="720">
        <v>1027.76</v>
      </c>
      <c r="J208" s="720">
        <v>6</v>
      </c>
      <c r="K208" s="720">
        <v>5634.84</v>
      </c>
      <c r="L208" s="720">
        <v>1</v>
      </c>
      <c r="M208" s="720">
        <v>939.14</v>
      </c>
      <c r="N208" s="720">
        <v>12</v>
      </c>
      <c r="O208" s="720">
        <v>10509.85</v>
      </c>
      <c r="P208" s="745">
        <v>1.8651549999645065</v>
      </c>
      <c r="Q208" s="721">
        <v>875.82083333333333</v>
      </c>
    </row>
    <row r="209" spans="1:17" ht="14.45" customHeight="1" x14ac:dyDescent="0.2">
      <c r="A209" s="715" t="s">
        <v>4677</v>
      </c>
      <c r="B209" s="716" t="s">
        <v>4318</v>
      </c>
      <c r="C209" s="716" t="s">
        <v>3579</v>
      </c>
      <c r="D209" s="716" t="s">
        <v>4711</v>
      </c>
      <c r="E209" s="716" t="s">
        <v>4710</v>
      </c>
      <c r="F209" s="720">
        <v>20</v>
      </c>
      <c r="G209" s="720">
        <v>42836.999999999993</v>
      </c>
      <c r="H209" s="720">
        <v>2.5139600872083632</v>
      </c>
      <c r="I209" s="720">
        <v>2141.8499999999995</v>
      </c>
      <c r="J209" s="720">
        <v>15</v>
      </c>
      <c r="K209" s="720">
        <v>17039.650000000001</v>
      </c>
      <c r="L209" s="720">
        <v>1</v>
      </c>
      <c r="M209" s="720">
        <v>1135.9766666666667</v>
      </c>
      <c r="N209" s="720">
        <v>22</v>
      </c>
      <c r="O209" s="720">
        <v>26037.16</v>
      </c>
      <c r="P209" s="745">
        <v>1.5280337330872404</v>
      </c>
      <c r="Q209" s="721">
        <v>1183.5072727272727</v>
      </c>
    </row>
    <row r="210" spans="1:17" ht="14.45" customHeight="1" x14ac:dyDescent="0.2">
      <c r="A210" s="715" t="s">
        <v>4677</v>
      </c>
      <c r="B210" s="716" t="s">
        <v>4318</v>
      </c>
      <c r="C210" s="716" t="s">
        <v>3579</v>
      </c>
      <c r="D210" s="716" t="s">
        <v>4712</v>
      </c>
      <c r="E210" s="716" t="s">
        <v>4713</v>
      </c>
      <c r="F210" s="720">
        <v>2</v>
      </c>
      <c r="G210" s="720">
        <v>17073.099999999999</v>
      </c>
      <c r="H210" s="720">
        <v>1</v>
      </c>
      <c r="I210" s="720">
        <v>8536.5499999999993</v>
      </c>
      <c r="J210" s="720">
        <v>2</v>
      </c>
      <c r="K210" s="720">
        <v>17073.099999999999</v>
      </c>
      <c r="L210" s="720">
        <v>1</v>
      </c>
      <c r="M210" s="720">
        <v>8536.5499999999993</v>
      </c>
      <c r="N210" s="720">
        <v>1</v>
      </c>
      <c r="O210" s="720">
        <v>8536.5499999999993</v>
      </c>
      <c r="P210" s="745">
        <v>0.5</v>
      </c>
      <c r="Q210" s="721">
        <v>8536.5499999999993</v>
      </c>
    </row>
    <row r="211" spans="1:17" ht="14.45" customHeight="1" x14ac:dyDescent="0.2">
      <c r="A211" s="715" t="s">
        <v>4677</v>
      </c>
      <c r="B211" s="716" t="s">
        <v>4318</v>
      </c>
      <c r="C211" s="716" t="s">
        <v>3579</v>
      </c>
      <c r="D211" s="716" t="s">
        <v>4714</v>
      </c>
      <c r="E211" s="716" t="s">
        <v>4715</v>
      </c>
      <c r="F211" s="720"/>
      <c r="G211" s="720"/>
      <c r="H211" s="720"/>
      <c r="I211" s="720"/>
      <c r="J211" s="720">
        <v>2</v>
      </c>
      <c r="K211" s="720">
        <v>2149.42</v>
      </c>
      <c r="L211" s="720">
        <v>1</v>
      </c>
      <c r="M211" s="720">
        <v>1074.71</v>
      </c>
      <c r="N211" s="720"/>
      <c r="O211" s="720"/>
      <c r="P211" s="745"/>
      <c r="Q211" s="721"/>
    </row>
    <row r="212" spans="1:17" ht="14.45" customHeight="1" x14ac:dyDescent="0.2">
      <c r="A212" s="715" t="s">
        <v>4677</v>
      </c>
      <c r="B212" s="716" t="s">
        <v>4318</v>
      </c>
      <c r="C212" s="716" t="s">
        <v>3579</v>
      </c>
      <c r="D212" s="716" t="s">
        <v>4716</v>
      </c>
      <c r="E212" s="716" t="s">
        <v>4717</v>
      </c>
      <c r="F212" s="720"/>
      <c r="G212" s="720"/>
      <c r="H212" s="720"/>
      <c r="I212" s="720"/>
      <c r="J212" s="720">
        <v>1</v>
      </c>
      <c r="K212" s="720">
        <v>8166.76</v>
      </c>
      <c r="L212" s="720">
        <v>1</v>
      </c>
      <c r="M212" s="720">
        <v>8166.76</v>
      </c>
      <c r="N212" s="720"/>
      <c r="O212" s="720"/>
      <c r="P212" s="745"/>
      <c r="Q212" s="721"/>
    </row>
    <row r="213" spans="1:17" ht="14.45" customHeight="1" x14ac:dyDescent="0.2">
      <c r="A213" s="715" t="s">
        <v>4677</v>
      </c>
      <c r="B213" s="716" t="s">
        <v>4318</v>
      </c>
      <c r="C213" s="716" t="s">
        <v>3579</v>
      </c>
      <c r="D213" s="716" t="s">
        <v>4718</v>
      </c>
      <c r="E213" s="716" t="s">
        <v>4719</v>
      </c>
      <c r="F213" s="720">
        <v>3</v>
      </c>
      <c r="G213" s="720">
        <v>166191.6</v>
      </c>
      <c r="H213" s="720">
        <v>3.0000000000000004</v>
      </c>
      <c r="I213" s="720">
        <v>55397.200000000004</v>
      </c>
      <c r="J213" s="720">
        <v>1</v>
      </c>
      <c r="K213" s="720">
        <v>55397.2</v>
      </c>
      <c r="L213" s="720">
        <v>1</v>
      </c>
      <c r="M213" s="720">
        <v>55397.2</v>
      </c>
      <c r="N213" s="720">
        <v>1</v>
      </c>
      <c r="O213" s="720">
        <v>26703</v>
      </c>
      <c r="P213" s="745">
        <v>0.4820279725329078</v>
      </c>
      <c r="Q213" s="721">
        <v>26703</v>
      </c>
    </row>
    <row r="214" spans="1:17" ht="14.45" customHeight="1" x14ac:dyDescent="0.2">
      <c r="A214" s="715" t="s">
        <v>4677</v>
      </c>
      <c r="B214" s="716" t="s">
        <v>4318</v>
      </c>
      <c r="C214" s="716" t="s">
        <v>3579</v>
      </c>
      <c r="D214" s="716" t="s">
        <v>4720</v>
      </c>
      <c r="E214" s="716" t="s">
        <v>4721</v>
      </c>
      <c r="F214" s="720">
        <v>1</v>
      </c>
      <c r="G214" s="720">
        <v>3003.38</v>
      </c>
      <c r="H214" s="720">
        <v>0.56974348662419905</v>
      </c>
      <c r="I214" s="720">
        <v>3003.38</v>
      </c>
      <c r="J214" s="720">
        <v>2</v>
      </c>
      <c r="K214" s="720">
        <v>5271.46</v>
      </c>
      <c r="L214" s="720">
        <v>1</v>
      </c>
      <c r="M214" s="720">
        <v>2635.73</v>
      </c>
      <c r="N214" s="720">
        <v>1</v>
      </c>
      <c r="O214" s="720">
        <v>2635.73</v>
      </c>
      <c r="P214" s="745">
        <v>0.5</v>
      </c>
      <c r="Q214" s="721">
        <v>2635.73</v>
      </c>
    </row>
    <row r="215" spans="1:17" ht="14.45" customHeight="1" x14ac:dyDescent="0.2">
      <c r="A215" s="715" t="s">
        <v>4677</v>
      </c>
      <c r="B215" s="716" t="s">
        <v>4318</v>
      </c>
      <c r="C215" s="716" t="s">
        <v>3579</v>
      </c>
      <c r="D215" s="716" t="s">
        <v>4722</v>
      </c>
      <c r="E215" s="716" t="s">
        <v>4723</v>
      </c>
      <c r="F215" s="720">
        <v>3</v>
      </c>
      <c r="G215" s="720">
        <v>6709.5</v>
      </c>
      <c r="H215" s="720">
        <v>0.5</v>
      </c>
      <c r="I215" s="720">
        <v>2236.5</v>
      </c>
      <c r="J215" s="720">
        <v>6</v>
      </c>
      <c r="K215" s="720">
        <v>13419</v>
      </c>
      <c r="L215" s="720">
        <v>1</v>
      </c>
      <c r="M215" s="720">
        <v>2236.5</v>
      </c>
      <c r="N215" s="720">
        <v>2</v>
      </c>
      <c r="O215" s="720">
        <v>4473</v>
      </c>
      <c r="P215" s="745">
        <v>0.33333333333333331</v>
      </c>
      <c r="Q215" s="721">
        <v>2236.5</v>
      </c>
    </row>
    <row r="216" spans="1:17" ht="14.45" customHeight="1" x14ac:dyDescent="0.2">
      <c r="A216" s="715" t="s">
        <v>4677</v>
      </c>
      <c r="B216" s="716" t="s">
        <v>4318</v>
      </c>
      <c r="C216" s="716" t="s">
        <v>3579</v>
      </c>
      <c r="D216" s="716" t="s">
        <v>4724</v>
      </c>
      <c r="E216" s="716" t="s">
        <v>4725</v>
      </c>
      <c r="F216" s="720"/>
      <c r="G216" s="720"/>
      <c r="H216" s="720"/>
      <c r="I216" s="720"/>
      <c r="J216" s="720">
        <v>7</v>
      </c>
      <c r="K216" s="720">
        <v>96594.44</v>
      </c>
      <c r="L216" s="720">
        <v>1</v>
      </c>
      <c r="M216" s="720">
        <v>13799.205714285714</v>
      </c>
      <c r="N216" s="720">
        <v>2</v>
      </c>
      <c r="O216" s="720">
        <v>39092.44</v>
      </c>
      <c r="P216" s="745">
        <v>0.40470693758357107</v>
      </c>
      <c r="Q216" s="721">
        <v>19546.22</v>
      </c>
    </row>
    <row r="217" spans="1:17" ht="14.45" customHeight="1" x14ac:dyDescent="0.2">
      <c r="A217" s="715" t="s">
        <v>4677</v>
      </c>
      <c r="B217" s="716" t="s">
        <v>4318</v>
      </c>
      <c r="C217" s="716" t="s">
        <v>3579</v>
      </c>
      <c r="D217" s="716" t="s">
        <v>4726</v>
      </c>
      <c r="E217" s="716" t="s">
        <v>4727</v>
      </c>
      <c r="F217" s="720">
        <v>1</v>
      </c>
      <c r="G217" s="720">
        <v>3991.04</v>
      </c>
      <c r="H217" s="720">
        <v>0.5</v>
      </c>
      <c r="I217" s="720">
        <v>3991.04</v>
      </c>
      <c r="J217" s="720">
        <v>2</v>
      </c>
      <c r="K217" s="720">
        <v>7982.08</v>
      </c>
      <c r="L217" s="720">
        <v>1</v>
      </c>
      <c r="M217" s="720">
        <v>3991.04</v>
      </c>
      <c r="N217" s="720"/>
      <c r="O217" s="720"/>
      <c r="P217" s="745"/>
      <c r="Q217" s="721"/>
    </row>
    <row r="218" spans="1:17" ht="14.45" customHeight="1" x14ac:dyDescent="0.2">
      <c r="A218" s="715" t="s">
        <v>4677</v>
      </c>
      <c r="B218" s="716" t="s">
        <v>4318</v>
      </c>
      <c r="C218" s="716" t="s">
        <v>3579</v>
      </c>
      <c r="D218" s="716" t="s">
        <v>4728</v>
      </c>
      <c r="E218" s="716" t="s">
        <v>4729</v>
      </c>
      <c r="F218" s="720">
        <v>37</v>
      </c>
      <c r="G218" s="720">
        <v>254958.86</v>
      </c>
      <c r="H218" s="720">
        <v>27.112380340671518</v>
      </c>
      <c r="I218" s="720">
        <v>6890.78</v>
      </c>
      <c r="J218" s="720">
        <v>2</v>
      </c>
      <c r="K218" s="720">
        <v>9403.7799999999988</v>
      </c>
      <c r="L218" s="720">
        <v>1</v>
      </c>
      <c r="M218" s="720">
        <v>4701.8899999999994</v>
      </c>
      <c r="N218" s="720"/>
      <c r="O218" s="720"/>
      <c r="P218" s="745"/>
      <c r="Q218" s="721"/>
    </row>
    <row r="219" spans="1:17" ht="14.45" customHeight="1" x14ac:dyDescent="0.2">
      <c r="A219" s="715" t="s">
        <v>4677</v>
      </c>
      <c r="B219" s="716" t="s">
        <v>4318</v>
      </c>
      <c r="C219" s="716" t="s">
        <v>3579</v>
      </c>
      <c r="D219" s="716" t="s">
        <v>4730</v>
      </c>
      <c r="E219" s="716" t="s">
        <v>4731</v>
      </c>
      <c r="F219" s="720">
        <v>1</v>
      </c>
      <c r="G219" s="720">
        <v>4137.8900000000003</v>
      </c>
      <c r="H219" s="720">
        <v>0.2</v>
      </c>
      <c r="I219" s="720">
        <v>4137.8900000000003</v>
      </c>
      <c r="J219" s="720">
        <v>5</v>
      </c>
      <c r="K219" s="720">
        <v>20689.45</v>
      </c>
      <c r="L219" s="720">
        <v>1</v>
      </c>
      <c r="M219" s="720">
        <v>4137.8900000000003</v>
      </c>
      <c r="N219" s="720">
        <v>5</v>
      </c>
      <c r="O219" s="720">
        <v>18617.36</v>
      </c>
      <c r="P219" s="745">
        <v>0.89984799015923578</v>
      </c>
      <c r="Q219" s="721">
        <v>3723.4720000000002</v>
      </c>
    </row>
    <row r="220" spans="1:17" ht="14.45" customHeight="1" x14ac:dyDescent="0.2">
      <c r="A220" s="715" t="s">
        <v>4677</v>
      </c>
      <c r="B220" s="716" t="s">
        <v>4318</v>
      </c>
      <c r="C220" s="716" t="s">
        <v>3579</v>
      </c>
      <c r="D220" s="716" t="s">
        <v>4732</v>
      </c>
      <c r="E220" s="716" t="s">
        <v>4733</v>
      </c>
      <c r="F220" s="720">
        <v>26</v>
      </c>
      <c r="G220" s="720">
        <v>26072.799999999999</v>
      </c>
      <c r="H220" s="720">
        <v>1.2173141659235327</v>
      </c>
      <c r="I220" s="720">
        <v>1002.8</v>
      </c>
      <c r="J220" s="720">
        <v>23</v>
      </c>
      <c r="K220" s="720">
        <v>21418.3</v>
      </c>
      <c r="L220" s="720">
        <v>1</v>
      </c>
      <c r="M220" s="720">
        <v>931.23043478260865</v>
      </c>
      <c r="N220" s="720">
        <v>37</v>
      </c>
      <c r="O220" s="720">
        <v>33103.399999999994</v>
      </c>
      <c r="P220" s="745">
        <v>1.5455661747197489</v>
      </c>
      <c r="Q220" s="721">
        <v>894.68648648648627</v>
      </c>
    </row>
    <row r="221" spans="1:17" ht="14.45" customHeight="1" x14ac:dyDescent="0.2">
      <c r="A221" s="715" t="s">
        <v>4677</v>
      </c>
      <c r="B221" s="716" t="s">
        <v>4318</v>
      </c>
      <c r="C221" s="716" t="s">
        <v>3579</v>
      </c>
      <c r="D221" s="716" t="s">
        <v>4734</v>
      </c>
      <c r="E221" s="716" t="s">
        <v>4735</v>
      </c>
      <c r="F221" s="720">
        <v>3</v>
      </c>
      <c r="G221" s="720">
        <v>22950</v>
      </c>
      <c r="H221" s="720">
        <v>0.43607236179071263</v>
      </c>
      <c r="I221" s="720">
        <v>7650</v>
      </c>
      <c r="J221" s="720">
        <v>9</v>
      </c>
      <c r="K221" s="720">
        <v>52628.88</v>
      </c>
      <c r="L221" s="720">
        <v>1</v>
      </c>
      <c r="M221" s="720">
        <v>5847.6533333333327</v>
      </c>
      <c r="N221" s="720">
        <v>4</v>
      </c>
      <c r="O221" s="720">
        <v>25192.959999999999</v>
      </c>
      <c r="P221" s="745">
        <v>0.47869078726357089</v>
      </c>
      <c r="Q221" s="721">
        <v>6298.24</v>
      </c>
    </row>
    <row r="222" spans="1:17" ht="14.45" customHeight="1" x14ac:dyDescent="0.2">
      <c r="A222" s="715" t="s">
        <v>4677</v>
      </c>
      <c r="B222" s="716" t="s">
        <v>4318</v>
      </c>
      <c r="C222" s="716" t="s">
        <v>3579</v>
      </c>
      <c r="D222" s="716" t="s">
        <v>4736</v>
      </c>
      <c r="E222" s="716" t="s">
        <v>4737</v>
      </c>
      <c r="F222" s="720">
        <v>5</v>
      </c>
      <c r="G222" s="720">
        <v>66422.600000000006</v>
      </c>
      <c r="H222" s="720">
        <v>0.85108242247886967</v>
      </c>
      <c r="I222" s="720">
        <v>13284.52</v>
      </c>
      <c r="J222" s="720">
        <v>18</v>
      </c>
      <c r="K222" s="720">
        <v>78044.849999999991</v>
      </c>
      <c r="L222" s="720">
        <v>1</v>
      </c>
      <c r="M222" s="720">
        <v>4335.8249999999998</v>
      </c>
      <c r="N222" s="720">
        <v>27</v>
      </c>
      <c r="O222" s="720">
        <v>132849.21</v>
      </c>
      <c r="P222" s="745">
        <v>1.7022162256702398</v>
      </c>
      <c r="Q222" s="721">
        <v>4920.3411111111109</v>
      </c>
    </row>
    <row r="223" spans="1:17" ht="14.45" customHeight="1" x14ac:dyDescent="0.2">
      <c r="A223" s="715" t="s">
        <v>4677</v>
      </c>
      <c r="B223" s="716" t="s">
        <v>4318</v>
      </c>
      <c r="C223" s="716" t="s">
        <v>3579</v>
      </c>
      <c r="D223" s="716" t="s">
        <v>4738</v>
      </c>
      <c r="E223" s="716" t="s">
        <v>4739</v>
      </c>
      <c r="F223" s="720">
        <v>1</v>
      </c>
      <c r="G223" s="720">
        <v>2170.9699999999998</v>
      </c>
      <c r="H223" s="720">
        <v>0.17677584415499814</v>
      </c>
      <c r="I223" s="720">
        <v>2170.9699999999998</v>
      </c>
      <c r="J223" s="720">
        <v>6</v>
      </c>
      <c r="K223" s="720">
        <v>12280.92</v>
      </c>
      <c r="L223" s="720">
        <v>1</v>
      </c>
      <c r="M223" s="720">
        <v>2046.82</v>
      </c>
      <c r="N223" s="720">
        <v>3</v>
      </c>
      <c r="O223" s="720">
        <v>5030.6099999999997</v>
      </c>
      <c r="P223" s="745">
        <v>0.40962810603765837</v>
      </c>
      <c r="Q223" s="721">
        <v>1676.87</v>
      </c>
    </row>
    <row r="224" spans="1:17" ht="14.45" customHeight="1" x14ac:dyDescent="0.2">
      <c r="A224" s="715" t="s">
        <v>4677</v>
      </c>
      <c r="B224" s="716" t="s">
        <v>4318</v>
      </c>
      <c r="C224" s="716" t="s">
        <v>3579</v>
      </c>
      <c r="D224" s="716" t="s">
        <v>4740</v>
      </c>
      <c r="E224" s="716" t="s">
        <v>4741</v>
      </c>
      <c r="F224" s="720">
        <v>6</v>
      </c>
      <c r="G224" s="720">
        <v>4782</v>
      </c>
      <c r="H224" s="720">
        <v>0.57904959338173678</v>
      </c>
      <c r="I224" s="720">
        <v>797</v>
      </c>
      <c r="J224" s="720">
        <v>11</v>
      </c>
      <c r="K224" s="720">
        <v>8258.36</v>
      </c>
      <c r="L224" s="720">
        <v>1</v>
      </c>
      <c r="M224" s="720">
        <v>750.7600000000001</v>
      </c>
      <c r="N224" s="720">
        <v>7</v>
      </c>
      <c r="O224" s="720">
        <v>5255.32</v>
      </c>
      <c r="P224" s="745">
        <v>0.63636363636363624</v>
      </c>
      <c r="Q224" s="721">
        <v>750.76</v>
      </c>
    </row>
    <row r="225" spans="1:17" ht="14.45" customHeight="1" x14ac:dyDescent="0.2">
      <c r="A225" s="715" t="s">
        <v>4677</v>
      </c>
      <c r="B225" s="716" t="s">
        <v>4318</v>
      </c>
      <c r="C225" s="716" t="s">
        <v>3579</v>
      </c>
      <c r="D225" s="716" t="s">
        <v>4742</v>
      </c>
      <c r="E225" s="716" t="s">
        <v>4743</v>
      </c>
      <c r="F225" s="720">
        <v>4</v>
      </c>
      <c r="G225" s="720">
        <v>40291.760000000002</v>
      </c>
      <c r="H225" s="720"/>
      <c r="I225" s="720">
        <v>10072.94</v>
      </c>
      <c r="J225" s="720"/>
      <c r="K225" s="720"/>
      <c r="L225" s="720"/>
      <c r="M225" s="720"/>
      <c r="N225" s="720">
        <v>1</v>
      </c>
      <c r="O225" s="720">
        <v>10072.94</v>
      </c>
      <c r="P225" s="745"/>
      <c r="Q225" s="721">
        <v>10072.94</v>
      </c>
    </row>
    <row r="226" spans="1:17" ht="14.45" customHeight="1" x14ac:dyDescent="0.2">
      <c r="A226" s="715" t="s">
        <v>4677</v>
      </c>
      <c r="B226" s="716" t="s">
        <v>4318</v>
      </c>
      <c r="C226" s="716" t="s">
        <v>3579</v>
      </c>
      <c r="D226" s="716" t="s">
        <v>4744</v>
      </c>
      <c r="E226" s="716" t="s">
        <v>4745</v>
      </c>
      <c r="F226" s="720">
        <v>1</v>
      </c>
      <c r="G226" s="720">
        <v>2974.36</v>
      </c>
      <c r="H226" s="720">
        <v>0.25</v>
      </c>
      <c r="I226" s="720">
        <v>2974.36</v>
      </c>
      <c r="J226" s="720">
        <v>4</v>
      </c>
      <c r="K226" s="720">
        <v>11897.44</v>
      </c>
      <c r="L226" s="720">
        <v>1</v>
      </c>
      <c r="M226" s="720">
        <v>2974.36</v>
      </c>
      <c r="N226" s="720"/>
      <c r="O226" s="720"/>
      <c r="P226" s="745"/>
      <c r="Q226" s="721"/>
    </row>
    <row r="227" spans="1:17" ht="14.45" customHeight="1" x14ac:dyDescent="0.2">
      <c r="A227" s="715" t="s">
        <v>4677</v>
      </c>
      <c r="B227" s="716" t="s">
        <v>4318</v>
      </c>
      <c r="C227" s="716" t="s">
        <v>3579</v>
      </c>
      <c r="D227" s="716" t="s">
        <v>3707</v>
      </c>
      <c r="E227" s="716" t="s">
        <v>3708</v>
      </c>
      <c r="F227" s="720">
        <v>2</v>
      </c>
      <c r="G227" s="720">
        <v>6720</v>
      </c>
      <c r="H227" s="720">
        <v>0.5</v>
      </c>
      <c r="I227" s="720">
        <v>3360</v>
      </c>
      <c r="J227" s="720">
        <v>4</v>
      </c>
      <c r="K227" s="720">
        <v>13440</v>
      </c>
      <c r="L227" s="720">
        <v>1</v>
      </c>
      <c r="M227" s="720">
        <v>3360</v>
      </c>
      <c r="N227" s="720">
        <v>6</v>
      </c>
      <c r="O227" s="720">
        <v>15451.36</v>
      </c>
      <c r="P227" s="745">
        <v>1.1496547619047619</v>
      </c>
      <c r="Q227" s="721">
        <v>2575.2266666666669</v>
      </c>
    </row>
    <row r="228" spans="1:17" ht="14.45" customHeight="1" x14ac:dyDescent="0.2">
      <c r="A228" s="715" t="s">
        <v>4677</v>
      </c>
      <c r="B228" s="716" t="s">
        <v>4318</v>
      </c>
      <c r="C228" s="716" t="s">
        <v>3579</v>
      </c>
      <c r="D228" s="716" t="s">
        <v>4746</v>
      </c>
      <c r="E228" s="716" t="s">
        <v>4747</v>
      </c>
      <c r="F228" s="720">
        <v>13</v>
      </c>
      <c r="G228" s="720">
        <v>68369.989999999991</v>
      </c>
      <c r="H228" s="720">
        <v>1.2875752827694265</v>
      </c>
      <c r="I228" s="720">
        <v>5259.23</v>
      </c>
      <c r="J228" s="720">
        <v>15</v>
      </c>
      <c r="K228" s="720">
        <v>53099.799999999996</v>
      </c>
      <c r="L228" s="720">
        <v>1</v>
      </c>
      <c r="M228" s="720">
        <v>3539.9866666666662</v>
      </c>
      <c r="N228" s="720">
        <v>22</v>
      </c>
      <c r="O228" s="720">
        <v>69785.37000000001</v>
      </c>
      <c r="P228" s="745">
        <v>1.3142303737490539</v>
      </c>
      <c r="Q228" s="721">
        <v>3172.062272727273</v>
      </c>
    </row>
    <row r="229" spans="1:17" ht="14.45" customHeight="1" x14ac:dyDescent="0.2">
      <c r="A229" s="715" t="s">
        <v>4677</v>
      </c>
      <c r="B229" s="716" t="s">
        <v>4318</v>
      </c>
      <c r="C229" s="716" t="s">
        <v>3579</v>
      </c>
      <c r="D229" s="716" t="s">
        <v>4748</v>
      </c>
      <c r="E229" s="716" t="s">
        <v>4749</v>
      </c>
      <c r="F229" s="720"/>
      <c r="G229" s="720"/>
      <c r="H229" s="720"/>
      <c r="I229" s="720"/>
      <c r="J229" s="720">
        <v>1</v>
      </c>
      <c r="K229" s="720">
        <v>1336.72</v>
      </c>
      <c r="L229" s="720">
        <v>1</v>
      </c>
      <c r="M229" s="720">
        <v>1336.72</v>
      </c>
      <c r="N229" s="720">
        <v>1</v>
      </c>
      <c r="O229" s="720">
        <v>1064.47</v>
      </c>
      <c r="P229" s="745">
        <v>0.79632982225148119</v>
      </c>
      <c r="Q229" s="721">
        <v>1064.47</v>
      </c>
    </row>
    <row r="230" spans="1:17" ht="14.45" customHeight="1" x14ac:dyDescent="0.2">
      <c r="A230" s="715" t="s">
        <v>4677</v>
      </c>
      <c r="B230" s="716" t="s">
        <v>4318</v>
      </c>
      <c r="C230" s="716" t="s">
        <v>3579</v>
      </c>
      <c r="D230" s="716" t="s">
        <v>4750</v>
      </c>
      <c r="E230" s="716" t="s">
        <v>4751</v>
      </c>
      <c r="F230" s="720"/>
      <c r="G230" s="720"/>
      <c r="H230" s="720"/>
      <c r="I230" s="720"/>
      <c r="J230" s="720">
        <v>1</v>
      </c>
      <c r="K230" s="720">
        <v>40481.4</v>
      </c>
      <c r="L230" s="720">
        <v>1</v>
      </c>
      <c r="M230" s="720">
        <v>40481.4</v>
      </c>
      <c r="N230" s="720"/>
      <c r="O230" s="720"/>
      <c r="P230" s="745"/>
      <c r="Q230" s="721"/>
    </row>
    <row r="231" spans="1:17" ht="14.45" customHeight="1" x14ac:dyDescent="0.2">
      <c r="A231" s="715" t="s">
        <v>4677</v>
      </c>
      <c r="B231" s="716" t="s">
        <v>4318</v>
      </c>
      <c r="C231" s="716" t="s">
        <v>3579</v>
      </c>
      <c r="D231" s="716" t="s">
        <v>4752</v>
      </c>
      <c r="E231" s="716" t="s">
        <v>4753</v>
      </c>
      <c r="F231" s="720">
        <v>1</v>
      </c>
      <c r="G231" s="720">
        <v>27920</v>
      </c>
      <c r="H231" s="720"/>
      <c r="I231" s="720">
        <v>27920</v>
      </c>
      <c r="J231" s="720"/>
      <c r="K231" s="720"/>
      <c r="L231" s="720"/>
      <c r="M231" s="720"/>
      <c r="N231" s="720">
        <v>2</v>
      </c>
      <c r="O231" s="720">
        <v>43655.56</v>
      </c>
      <c r="P231" s="745"/>
      <c r="Q231" s="721">
        <v>21827.78</v>
      </c>
    </row>
    <row r="232" spans="1:17" ht="14.45" customHeight="1" x14ac:dyDescent="0.2">
      <c r="A232" s="715" t="s">
        <v>4677</v>
      </c>
      <c r="B232" s="716" t="s">
        <v>4318</v>
      </c>
      <c r="C232" s="716" t="s">
        <v>3579</v>
      </c>
      <c r="D232" s="716" t="s">
        <v>4754</v>
      </c>
      <c r="E232" s="716" t="s">
        <v>4755</v>
      </c>
      <c r="F232" s="720">
        <v>1</v>
      </c>
      <c r="G232" s="720">
        <v>4041.82</v>
      </c>
      <c r="H232" s="720">
        <v>1.0744063520924212</v>
      </c>
      <c r="I232" s="720">
        <v>4041.82</v>
      </c>
      <c r="J232" s="720">
        <v>1</v>
      </c>
      <c r="K232" s="720">
        <v>3761.91</v>
      </c>
      <c r="L232" s="720">
        <v>1</v>
      </c>
      <c r="M232" s="720">
        <v>3761.91</v>
      </c>
      <c r="N232" s="720"/>
      <c r="O232" s="720"/>
      <c r="P232" s="745"/>
      <c r="Q232" s="721"/>
    </row>
    <row r="233" spans="1:17" ht="14.45" customHeight="1" x14ac:dyDescent="0.2">
      <c r="A233" s="715" t="s">
        <v>4677</v>
      </c>
      <c r="B233" s="716" t="s">
        <v>4318</v>
      </c>
      <c r="C233" s="716" t="s">
        <v>3579</v>
      </c>
      <c r="D233" s="716" t="s">
        <v>4756</v>
      </c>
      <c r="E233" s="716" t="s">
        <v>4757</v>
      </c>
      <c r="F233" s="720">
        <v>1</v>
      </c>
      <c r="G233" s="720">
        <v>605.65</v>
      </c>
      <c r="H233" s="720">
        <v>0.21994843114468329</v>
      </c>
      <c r="I233" s="720">
        <v>605.65</v>
      </c>
      <c r="J233" s="720">
        <v>5</v>
      </c>
      <c r="K233" s="720">
        <v>2753.6000000000004</v>
      </c>
      <c r="L233" s="720">
        <v>1</v>
      </c>
      <c r="M233" s="720">
        <v>550.72</v>
      </c>
      <c r="N233" s="720">
        <v>6</v>
      </c>
      <c r="O233" s="720">
        <v>3179.4000000000005</v>
      </c>
      <c r="P233" s="745">
        <v>1.1546339337594422</v>
      </c>
      <c r="Q233" s="721">
        <v>529.90000000000009</v>
      </c>
    </row>
    <row r="234" spans="1:17" ht="14.45" customHeight="1" x14ac:dyDescent="0.2">
      <c r="A234" s="715" t="s">
        <v>4677</v>
      </c>
      <c r="B234" s="716" t="s">
        <v>4318</v>
      </c>
      <c r="C234" s="716" t="s">
        <v>3579</v>
      </c>
      <c r="D234" s="716" t="s">
        <v>4758</v>
      </c>
      <c r="E234" s="716" t="s">
        <v>4759</v>
      </c>
      <c r="F234" s="720"/>
      <c r="G234" s="720"/>
      <c r="H234" s="720"/>
      <c r="I234" s="720"/>
      <c r="J234" s="720">
        <v>2</v>
      </c>
      <c r="K234" s="720">
        <v>34763.980000000003</v>
      </c>
      <c r="L234" s="720">
        <v>1</v>
      </c>
      <c r="M234" s="720">
        <v>17381.990000000002</v>
      </c>
      <c r="N234" s="720"/>
      <c r="O234" s="720"/>
      <c r="P234" s="745"/>
      <c r="Q234" s="721"/>
    </row>
    <row r="235" spans="1:17" ht="14.45" customHeight="1" x14ac:dyDescent="0.2">
      <c r="A235" s="715" t="s">
        <v>4677</v>
      </c>
      <c r="B235" s="716" t="s">
        <v>4318</v>
      </c>
      <c r="C235" s="716" t="s">
        <v>3579</v>
      </c>
      <c r="D235" s="716" t="s">
        <v>4760</v>
      </c>
      <c r="E235" s="716" t="s">
        <v>4761</v>
      </c>
      <c r="F235" s="720">
        <v>7</v>
      </c>
      <c r="G235" s="720">
        <v>5818.12</v>
      </c>
      <c r="H235" s="720">
        <v>1.1666666666666667</v>
      </c>
      <c r="I235" s="720">
        <v>831.16</v>
      </c>
      <c r="J235" s="720">
        <v>6</v>
      </c>
      <c r="K235" s="720">
        <v>4986.96</v>
      </c>
      <c r="L235" s="720">
        <v>1</v>
      </c>
      <c r="M235" s="720">
        <v>831.16</v>
      </c>
      <c r="N235" s="720">
        <v>5</v>
      </c>
      <c r="O235" s="720">
        <v>3579.7999999999997</v>
      </c>
      <c r="P235" s="745">
        <v>0.71783210613279425</v>
      </c>
      <c r="Q235" s="721">
        <v>715.95999999999992</v>
      </c>
    </row>
    <row r="236" spans="1:17" ht="14.45" customHeight="1" x14ac:dyDescent="0.2">
      <c r="A236" s="715" t="s">
        <v>4677</v>
      </c>
      <c r="B236" s="716" t="s">
        <v>4318</v>
      </c>
      <c r="C236" s="716" t="s">
        <v>3579</v>
      </c>
      <c r="D236" s="716" t="s">
        <v>4762</v>
      </c>
      <c r="E236" s="716" t="s">
        <v>4761</v>
      </c>
      <c r="F236" s="720">
        <v>5</v>
      </c>
      <c r="G236" s="720">
        <v>4440.2999999999993</v>
      </c>
      <c r="H236" s="720">
        <v>1.6666666666666665</v>
      </c>
      <c r="I236" s="720">
        <v>888.05999999999983</v>
      </c>
      <c r="J236" s="720">
        <v>3</v>
      </c>
      <c r="K236" s="720">
        <v>2664.18</v>
      </c>
      <c r="L236" s="720">
        <v>1</v>
      </c>
      <c r="M236" s="720">
        <v>888.06</v>
      </c>
      <c r="N236" s="720">
        <v>1</v>
      </c>
      <c r="O236" s="720">
        <v>888.06</v>
      </c>
      <c r="P236" s="745">
        <v>0.33333333333333331</v>
      </c>
      <c r="Q236" s="721">
        <v>888.06</v>
      </c>
    </row>
    <row r="237" spans="1:17" ht="14.45" customHeight="1" x14ac:dyDescent="0.2">
      <c r="A237" s="715" t="s">
        <v>4677</v>
      </c>
      <c r="B237" s="716" t="s">
        <v>4318</v>
      </c>
      <c r="C237" s="716" t="s">
        <v>3579</v>
      </c>
      <c r="D237" s="716" t="s">
        <v>4763</v>
      </c>
      <c r="E237" s="716" t="s">
        <v>4764</v>
      </c>
      <c r="F237" s="720"/>
      <c r="G237" s="720"/>
      <c r="H237" s="720"/>
      <c r="I237" s="720"/>
      <c r="J237" s="720">
        <v>2</v>
      </c>
      <c r="K237" s="720">
        <v>1662.32</v>
      </c>
      <c r="L237" s="720">
        <v>1</v>
      </c>
      <c r="M237" s="720">
        <v>831.16</v>
      </c>
      <c r="N237" s="720"/>
      <c r="O237" s="720"/>
      <c r="P237" s="745"/>
      <c r="Q237" s="721"/>
    </row>
    <row r="238" spans="1:17" ht="14.45" customHeight="1" x14ac:dyDescent="0.2">
      <c r="A238" s="715" t="s">
        <v>4677</v>
      </c>
      <c r="B238" s="716" t="s">
        <v>4318</v>
      </c>
      <c r="C238" s="716" t="s">
        <v>3579</v>
      </c>
      <c r="D238" s="716" t="s">
        <v>4765</v>
      </c>
      <c r="E238" s="716" t="s">
        <v>4766</v>
      </c>
      <c r="F238" s="720">
        <v>8</v>
      </c>
      <c r="G238" s="720">
        <v>10497.12</v>
      </c>
      <c r="H238" s="720">
        <v>4</v>
      </c>
      <c r="I238" s="720">
        <v>1312.14</v>
      </c>
      <c r="J238" s="720">
        <v>2</v>
      </c>
      <c r="K238" s="720">
        <v>2624.28</v>
      </c>
      <c r="L238" s="720">
        <v>1</v>
      </c>
      <c r="M238" s="720">
        <v>1312.14</v>
      </c>
      <c r="N238" s="720">
        <v>5</v>
      </c>
      <c r="O238" s="720">
        <v>6560.7000000000007</v>
      </c>
      <c r="P238" s="745">
        <v>2.5</v>
      </c>
      <c r="Q238" s="721">
        <v>1312.14</v>
      </c>
    </row>
    <row r="239" spans="1:17" ht="14.45" customHeight="1" x14ac:dyDescent="0.2">
      <c r="A239" s="715" t="s">
        <v>4677</v>
      </c>
      <c r="B239" s="716" t="s">
        <v>4318</v>
      </c>
      <c r="C239" s="716" t="s">
        <v>3579</v>
      </c>
      <c r="D239" s="716" t="s">
        <v>4767</v>
      </c>
      <c r="E239" s="716" t="s">
        <v>4768</v>
      </c>
      <c r="F239" s="720">
        <v>19</v>
      </c>
      <c r="G239" s="720">
        <v>69247.01999999999</v>
      </c>
      <c r="H239" s="720">
        <v>0.66181860095179812</v>
      </c>
      <c r="I239" s="720">
        <v>3644.5799999999995</v>
      </c>
      <c r="J239" s="720">
        <v>31</v>
      </c>
      <c r="K239" s="720">
        <v>104631.42</v>
      </c>
      <c r="L239" s="720">
        <v>1</v>
      </c>
      <c r="M239" s="720">
        <v>3375.2070967741934</v>
      </c>
      <c r="N239" s="720">
        <v>32</v>
      </c>
      <c r="O239" s="720">
        <v>103466.9</v>
      </c>
      <c r="P239" s="745">
        <v>0.9888702647827966</v>
      </c>
      <c r="Q239" s="721">
        <v>3233.3406249999998</v>
      </c>
    </row>
    <row r="240" spans="1:17" ht="14.45" customHeight="1" x14ac:dyDescent="0.2">
      <c r="A240" s="715" t="s">
        <v>4677</v>
      </c>
      <c r="B240" s="716" t="s">
        <v>4318</v>
      </c>
      <c r="C240" s="716" t="s">
        <v>3579</v>
      </c>
      <c r="D240" s="716" t="s">
        <v>4769</v>
      </c>
      <c r="E240" s="716" t="s">
        <v>4770</v>
      </c>
      <c r="F240" s="720">
        <v>31</v>
      </c>
      <c r="G240" s="720">
        <v>35536.229999999996</v>
      </c>
      <c r="H240" s="720">
        <v>1.557952648822402</v>
      </c>
      <c r="I240" s="720">
        <v>1146.33</v>
      </c>
      <c r="J240" s="720">
        <v>21</v>
      </c>
      <c r="K240" s="720">
        <v>22809.57</v>
      </c>
      <c r="L240" s="720">
        <v>1</v>
      </c>
      <c r="M240" s="720">
        <v>1086.17</v>
      </c>
      <c r="N240" s="720">
        <v>26</v>
      </c>
      <c r="O240" s="720">
        <v>27440.260000000002</v>
      </c>
      <c r="P240" s="745">
        <v>1.2030152256267874</v>
      </c>
      <c r="Q240" s="721">
        <v>1055.3946153846155</v>
      </c>
    </row>
    <row r="241" spans="1:17" ht="14.45" customHeight="1" x14ac:dyDescent="0.2">
      <c r="A241" s="715" t="s">
        <v>4677</v>
      </c>
      <c r="B241" s="716" t="s">
        <v>4318</v>
      </c>
      <c r="C241" s="716" t="s">
        <v>3579</v>
      </c>
      <c r="D241" s="716" t="s">
        <v>4771</v>
      </c>
      <c r="E241" s="716" t="s">
        <v>4772</v>
      </c>
      <c r="F241" s="720"/>
      <c r="G241" s="720"/>
      <c r="H241" s="720"/>
      <c r="I241" s="720"/>
      <c r="J241" s="720"/>
      <c r="K241" s="720"/>
      <c r="L241" s="720"/>
      <c r="M241" s="720"/>
      <c r="N241" s="720">
        <v>1</v>
      </c>
      <c r="O241" s="720">
        <v>12020.1</v>
      </c>
      <c r="P241" s="745"/>
      <c r="Q241" s="721">
        <v>12020.1</v>
      </c>
    </row>
    <row r="242" spans="1:17" ht="14.45" customHeight="1" x14ac:dyDescent="0.2">
      <c r="A242" s="715" t="s">
        <v>4677</v>
      </c>
      <c r="B242" s="716" t="s">
        <v>4318</v>
      </c>
      <c r="C242" s="716" t="s">
        <v>3579</v>
      </c>
      <c r="D242" s="716" t="s">
        <v>4773</v>
      </c>
      <c r="E242" s="716" t="s">
        <v>4774</v>
      </c>
      <c r="F242" s="720"/>
      <c r="G242" s="720"/>
      <c r="H242" s="720"/>
      <c r="I242" s="720"/>
      <c r="J242" s="720">
        <v>2</v>
      </c>
      <c r="K242" s="720">
        <v>160000</v>
      </c>
      <c r="L242" s="720">
        <v>1</v>
      </c>
      <c r="M242" s="720">
        <v>80000</v>
      </c>
      <c r="N242" s="720"/>
      <c r="O242" s="720"/>
      <c r="P242" s="745"/>
      <c r="Q242" s="721"/>
    </row>
    <row r="243" spans="1:17" ht="14.45" customHeight="1" x14ac:dyDescent="0.2">
      <c r="A243" s="715" t="s">
        <v>4677</v>
      </c>
      <c r="B243" s="716" t="s">
        <v>4318</v>
      </c>
      <c r="C243" s="716" t="s">
        <v>3579</v>
      </c>
      <c r="D243" s="716" t="s">
        <v>4775</v>
      </c>
      <c r="E243" s="716" t="s">
        <v>4776</v>
      </c>
      <c r="F243" s="720">
        <v>5</v>
      </c>
      <c r="G243" s="720">
        <v>1795.5</v>
      </c>
      <c r="H243" s="720">
        <v>0.55555555555555558</v>
      </c>
      <c r="I243" s="720">
        <v>359.1</v>
      </c>
      <c r="J243" s="720">
        <v>9</v>
      </c>
      <c r="K243" s="720">
        <v>3231.8999999999996</v>
      </c>
      <c r="L243" s="720">
        <v>1</v>
      </c>
      <c r="M243" s="720">
        <v>359.09999999999997</v>
      </c>
      <c r="N243" s="720">
        <v>18</v>
      </c>
      <c r="O243" s="720">
        <v>5973.35</v>
      </c>
      <c r="P243" s="745">
        <v>1.8482471611126585</v>
      </c>
      <c r="Q243" s="721">
        <v>331.85277777777782</v>
      </c>
    </row>
    <row r="244" spans="1:17" ht="14.45" customHeight="1" x14ac:dyDescent="0.2">
      <c r="A244" s="715" t="s">
        <v>4677</v>
      </c>
      <c r="B244" s="716" t="s">
        <v>4318</v>
      </c>
      <c r="C244" s="716" t="s">
        <v>3579</v>
      </c>
      <c r="D244" s="716" t="s">
        <v>4777</v>
      </c>
      <c r="E244" s="716" t="s">
        <v>4778</v>
      </c>
      <c r="F244" s="720">
        <v>6</v>
      </c>
      <c r="G244" s="720">
        <v>100990.13999999998</v>
      </c>
      <c r="H244" s="720">
        <v>1.1133766188808745</v>
      </c>
      <c r="I244" s="720">
        <v>16831.689999999999</v>
      </c>
      <c r="J244" s="720">
        <v>6</v>
      </c>
      <c r="K244" s="720">
        <v>90706.18</v>
      </c>
      <c r="L244" s="720">
        <v>1</v>
      </c>
      <c r="M244" s="720">
        <v>15117.696666666665</v>
      </c>
      <c r="N244" s="720">
        <v>10</v>
      </c>
      <c r="O244" s="720">
        <v>142607.5</v>
      </c>
      <c r="P244" s="745">
        <v>1.5721916632361765</v>
      </c>
      <c r="Q244" s="721">
        <v>14260.75</v>
      </c>
    </row>
    <row r="245" spans="1:17" ht="14.45" customHeight="1" x14ac:dyDescent="0.2">
      <c r="A245" s="715" t="s">
        <v>4677</v>
      </c>
      <c r="B245" s="716" t="s">
        <v>4318</v>
      </c>
      <c r="C245" s="716" t="s">
        <v>3579</v>
      </c>
      <c r="D245" s="716" t="s">
        <v>4779</v>
      </c>
      <c r="E245" s="716" t="s">
        <v>4780</v>
      </c>
      <c r="F245" s="720">
        <v>1</v>
      </c>
      <c r="G245" s="720">
        <v>10645.01</v>
      </c>
      <c r="H245" s="720"/>
      <c r="I245" s="720">
        <v>10645.01</v>
      </c>
      <c r="J245" s="720"/>
      <c r="K245" s="720"/>
      <c r="L245" s="720"/>
      <c r="M245" s="720"/>
      <c r="N245" s="720"/>
      <c r="O245" s="720"/>
      <c r="P245" s="745"/>
      <c r="Q245" s="721"/>
    </row>
    <row r="246" spans="1:17" ht="14.45" customHeight="1" x14ac:dyDescent="0.2">
      <c r="A246" s="715" t="s">
        <v>4677</v>
      </c>
      <c r="B246" s="716" t="s">
        <v>4318</v>
      </c>
      <c r="C246" s="716" t="s">
        <v>3579</v>
      </c>
      <c r="D246" s="716" t="s">
        <v>4781</v>
      </c>
      <c r="E246" s="716" t="s">
        <v>4782</v>
      </c>
      <c r="F246" s="720">
        <v>1</v>
      </c>
      <c r="G246" s="720">
        <v>5200.68</v>
      </c>
      <c r="H246" s="720"/>
      <c r="I246" s="720">
        <v>5200.68</v>
      </c>
      <c r="J246" s="720">
        <v>0</v>
      </c>
      <c r="K246" s="720">
        <v>0</v>
      </c>
      <c r="L246" s="720"/>
      <c r="M246" s="720"/>
      <c r="N246" s="720">
        <v>1</v>
      </c>
      <c r="O246" s="720">
        <v>4225.3900000000003</v>
      </c>
      <c r="P246" s="745"/>
      <c r="Q246" s="721">
        <v>4225.3900000000003</v>
      </c>
    </row>
    <row r="247" spans="1:17" ht="14.45" customHeight="1" x14ac:dyDescent="0.2">
      <c r="A247" s="715" t="s">
        <v>4677</v>
      </c>
      <c r="B247" s="716" t="s">
        <v>4318</v>
      </c>
      <c r="C247" s="716" t="s">
        <v>3579</v>
      </c>
      <c r="D247" s="716" t="s">
        <v>4783</v>
      </c>
      <c r="E247" s="716" t="s">
        <v>4784</v>
      </c>
      <c r="F247" s="720">
        <v>16</v>
      </c>
      <c r="G247" s="720">
        <v>105394.08000000002</v>
      </c>
      <c r="H247" s="720">
        <v>1.5964284042680654</v>
      </c>
      <c r="I247" s="720">
        <v>6587.130000000001</v>
      </c>
      <c r="J247" s="720">
        <v>15</v>
      </c>
      <c r="K247" s="720">
        <v>66018.670000000013</v>
      </c>
      <c r="L247" s="720">
        <v>1</v>
      </c>
      <c r="M247" s="720">
        <v>4401.2446666666674</v>
      </c>
      <c r="N247" s="720">
        <v>20</v>
      </c>
      <c r="O247" s="720">
        <v>77878.929999999993</v>
      </c>
      <c r="P247" s="745">
        <v>1.1796500898912381</v>
      </c>
      <c r="Q247" s="721">
        <v>3893.9464999999996</v>
      </c>
    </row>
    <row r="248" spans="1:17" ht="14.45" customHeight="1" x14ac:dyDescent="0.2">
      <c r="A248" s="715" t="s">
        <v>4677</v>
      </c>
      <c r="B248" s="716" t="s">
        <v>4318</v>
      </c>
      <c r="C248" s="716" t="s">
        <v>3579</v>
      </c>
      <c r="D248" s="716" t="s">
        <v>4785</v>
      </c>
      <c r="E248" s="716" t="s">
        <v>4786</v>
      </c>
      <c r="F248" s="720">
        <v>4</v>
      </c>
      <c r="G248" s="720">
        <v>7366.48</v>
      </c>
      <c r="H248" s="720">
        <v>0.38325484214009375</v>
      </c>
      <c r="I248" s="720">
        <v>1841.62</v>
      </c>
      <c r="J248" s="720">
        <v>11</v>
      </c>
      <c r="K248" s="720">
        <v>19220.84</v>
      </c>
      <c r="L248" s="720">
        <v>1</v>
      </c>
      <c r="M248" s="720">
        <v>1747.3490909090908</v>
      </c>
      <c r="N248" s="720">
        <v>6</v>
      </c>
      <c r="O248" s="720">
        <v>10358.400000000001</v>
      </c>
      <c r="P248" s="745">
        <v>0.53891505261996886</v>
      </c>
      <c r="Q248" s="721">
        <v>1726.4000000000003</v>
      </c>
    </row>
    <row r="249" spans="1:17" ht="14.45" customHeight="1" x14ac:dyDescent="0.2">
      <c r="A249" s="715" t="s">
        <v>4677</v>
      </c>
      <c r="B249" s="716" t="s">
        <v>4318</v>
      </c>
      <c r="C249" s="716" t="s">
        <v>3579</v>
      </c>
      <c r="D249" s="716" t="s">
        <v>4785</v>
      </c>
      <c r="E249" s="716" t="s">
        <v>4787</v>
      </c>
      <c r="F249" s="720">
        <v>2</v>
      </c>
      <c r="G249" s="720">
        <v>3683.24</v>
      </c>
      <c r="H249" s="720"/>
      <c r="I249" s="720">
        <v>1841.62</v>
      </c>
      <c r="J249" s="720"/>
      <c r="K249" s="720"/>
      <c r="L249" s="720"/>
      <c r="M249" s="720"/>
      <c r="N249" s="720"/>
      <c r="O249" s="720"/>
      <c r="P249" s="745"/>
      <c r="Q249" s="721"/>
    </row>
    <row r="250" spans="1:17" ht="14.45" customHeight="1" x14ac:dyDescent="0.2">
      <c r="A250" s="715" t="s">
        <v>4677</v>
      </c>
      <c r="B250" s="716" t="s">
        <v>4318</v>
      </c>
      <c r="C250" s="716" t="s">
        <v>3579</v>
      </c>
      <c r="D250" s="716" t="s">
        <v>4788</v>
      </c>
      <c r="E250" s="716" t="s">
        <v>4789</v>
      </c>
      <c r="F250" s="720">
        <v>7</v>
      </c>
      <c r="G250" s="720">
        <v>177127.02000000002</v>
      </c>
      <c r="H250" s="720">
        <v>7.624269111570249</v>
      </c>
      <c r="I250" s="720">
        <v>25303.860000000004</v>
      </c>
      <c r="J250" s="720">
        <v>2</v>
      </c>
      <c r="K250" s="720">
        <v>23232</v>
      </c>
      <c r="L250" s="720">
        <v>1</v>
      </c>
      <c r="M250" s="720">
        <v>11616</v>
      </c>
      <c r="N250" s="720">
        <v>4</v>
      </c>
      <c r="O250" s="720">
        <v>69385.06</v>
      </c>
      <c r="P250" s="745">
        <v>2.9866158746556475</v>
      </c>
      <c r="Q250" s="721">
        <v>17346.264999999999</v>
      </c>
    </row>
    <row r="251" spans="1:17" ht="14.45" customHeight="1" x14ac:dyDescent="0.2">
      <c r="A251" s="715" t="s">
        <v>4677</v>
      </c>
      <c r="B251" s="716" t="s">
        <v>4318</v>
      </c>
      <c r="C251" s="716" t="s">
        <v>3579</v>
      </c>
      <c r="D251" s="716" t="s">
        <v>4790</v>
      </c>
      <c r="E251" s="716" t="s">
        <v>4791</v>
      </c>
      <c r="F251" s="720"/>
      <c r="G251" s="720"/>
      <c r="H251" s="720"/>
      <c r="I251" s="720"/>
      <c r="J251" s="720">
        <v>1</v>
      </c>
      <c r="K251" s="720">
        <v>20300.7</v>
      </c>
      <c r="L251" s="720">
        <v>1</v>
      </c>
      <c r="M251" s="720">
        <v>20300.7</v>
      </c>
      <c r="N251" s="720">
        <v>1</v>
      </c>
      <c r="O251" s="720">
        <v>20300.7</v>
      </c>
      <c r="P251" s="745">
        <v>1</v>
      </c>
      <c r="Q251" s="721">
        <v>20300.7</v>
      </c>
    </row>
    <row r="252" spans="1:17" ht="14.45" customHeight="1" x14ac:dyDescent="0.2">
      <c r="A252" s="715" t="s">
        <v>4677</v>
      </c>
      <c r="B252" s="716" t="s">
        <v>4318</v>
      </c>
      <c r="C252" s="716" t="s">
        <v>3579</v>
      </c>
      <c r="D252" s="716" t="s">
        <v>4792</v>
      </c>
      <c r="E252" s="716" t="s">
        <v>4793</v>
      </c>
      <c r="F252" s="720">
        <v>1</v>
      </c>
      <c r="G252" s="720">
        <v>216229.87</v>
      </c>
      <c r="H252" s="720"/>
      <c r="I252" s="720">
        <v>216229.87</v>
      </c>
      <c r="J252" s="720"/>
      <c r="K252" s="720"/>
      <c r="L252" s="720"/>
      <c r="M252" s="720"/>
      <c r="N252" s="720"/>
      <c r="O252" s="720"/>
      <c r="P252" s="745"/>
      <c r="Q252" s="721"/>
    </row>
    <row r="253" spans="1:17" ht="14.45" customHeight="1" x14ac:dyDescent="0.2">
      <c r="A253" s="715" t="s">
        <v>4677</v>
      </c>
      <c r="B253" s="716" t="s">
        <v>4318</v>
      </c>
      <c r="C253" s="716" t="s">
        <v>3579</v>
      </c>
      <c r="D253" s="716" t="s">
        <v>4794</v>
      </c>
      <c r="E253" s="716" t="s">
        <v>4795</v>
      </c>
      <c r="F253" s="720">
        <v>1</v>
      </c>
      <c r="G253" s="720">
        <v>104233</v>
      </c>
      <c r="H253" s="720"/>
      <c r="I253" s="720">
        <v>104233</v>
      </c>
      <c r="J253" s="720"/>
      <c r="K253" s="720"/>
      <c r="L253" s="720"/>
      <c r="M253" s="720"/>
      <c r="N253" s="720"/>
      <c r="O253" s="720"/>
      <c r="P253" s="745"/>
      <c r="Q253" s="721"/>
    </row>
    <row r="254" spans="1:17" ht="14.45" customHeight="1" x14ac:dyDescent="0.2">
      <c r="A254" s="715" t="s">
        <v>4677</v>
      </c>
      <c r="B254" s="716" t="s">
        <v>4318</v>
      </c>
      <c r="C254" s="716" t="s">
        <v>3579</v>
      </c>
      <c r="D254" s="716" t="s">
        <v>4796</v>
      </c>
      <c r="E254" s="716" t="s">
        <v>4797</v>
      </c>
      <c r="F254" s="720">
        <v>7</v>
      </c>
      <c r="G254" s="720">
        <v>442745.44999999995</v>
      </c>
      <c r="H254" s="720"/>
      <c r="I254" s="720">
        <v>63249.349999999991</v>
      </c>
      <c r="J254" s="720"/>
      <c r="K254" s="720"/>
      <c r="L254" s="720"/>
      <c r="M254" s="720"/>
      <c r="N254" s="720">
        <v>5</v>
      </c>
      <c r="O254" s="720">
        <v>316246.75</v>
      </c>
      <c r="P254" s="745"/>
      <c r="Q254" s="721">
        <v>63249.35</v>
      </c>
    </row>
    <row r="255" spans="1:17" ht="14.45" customHeight="1" x14ac:dyDescent="0.2">
      <c r="A255" s="715" t="s">
        <v>4677</v>
      </c>
      <c r="B255" s="716" t="s">
        <v>4318</v>
      </c>
      <c r="C255" s="716" t="s">
        <v>3579</v>
      </c>
      <c r="D255" s="716" t="s">
        <v>4798</v>
      </c>
      <c r="E255" s="716" t="s">
        <v>4799</v>
      </c>
      <c r="F255" s="720">
        <v>2</v>
      </c>
      <c r="G255" s="720">
        <v>14393.02</v>
      </c>
      <c r="H255" s="720"/>
      <c r="I255" s="720">
        <v>7196.51</v>
      </c>
      <c r="J255" s="720"/>
      <c r="K255" s="720"/>
      <c r="L255" s="720"/>
      <c r="M255" s="720"/>
      <c r="N255" s="720"/>
      <c r="O255" s="720"/>
      <c r="P255" s="745"/>
      <c r="Q255" s="721"/>
    </row>
    <row r="256" spans="1:17" ht="14.45" customHeight="1" x14ac:dyDescent="0.2">
      <c r="A256" s="715" t="s">
        <v>4677</v>
      </c>
      <c r="B256" s="716" t="s">
        <v>4318</v>
      </c>
      <c r="C256" s="716" t="s">
        <v>3579</v>
      </c>
      <c r="D256" s="716" t="s">
        <v>4800</v>
      </c>
      <c r="E256" s="716" t="s">
        <v>4801</v>
      </c>
      <c r="F256" s="720"/>
      <c r="G256" s="720"/>
      <c r="H256" s="720"/>
      <c r="I256" s="720"/>
      <c r="J256" s="720"/>
      <c r="K256" s="720"/>
      <c r="L256" s="720"/>
      <c r="M256" s="720"/>
      <c r="N256" s="720">
        <v>1</v>
      </c>
      <c r="O256" s="720">
        <v>21829</v>
      </c>
      <c r="P256" s="745"/>
      <c r="Q256" s="721">
        <v>21829</v>
      </c>
    </row>
    <row r="257" spans="1:17" ht="14.45" customHeight="1" x14ac:dyDescent="0.2">
      <c r="A257" s="715" t="s">
        <v>4677</v>
      </c>
      <c r="B257" s="716" t="s">
        <v>4318</v>
      </c>
      <c r="C257" s="716" t="s">
        <v>3579</v>
      </c>
      <c r="D257" s="716" t="s">
        <v>4802</v>
      </c>
      <c r="E257" s="716" t="s">
        <v>4803</v>
      </c>
      <c r="F257" s="720">
        <v>23</v>
      </c>
      <c r="G257" s="720">
        <v>100280</v>
      </c>
      <c r="H257" s="720">
        <v>6.5421133870637345</v>
      </c>
      <c r="I257" s="720">
        <v>4360</v>
      </c>
      <c r="J257" s="720">
        <v>4</v>
      </c>
      <c r="K257" s="720">
        <v>15328.38</v>
      </c>
      <c r="L257" s="720">
        <v>1</v>
      </c>
      <c r="M257" s="720">
        <v>3832.0949999999998</v>
      </c>
      <c r="N257" s="720">
        <v>11</v>
      </c>
      <c r="O257" s="720">
        <v>38828.769999999997</v>
      </c>
      <c r="P257" s="745">
        <v>2.5331293978881004</v>
      </c>
      <c r="Q257" s="721">
        <v>3529.8881818181817</v>
      </c>
    </row>
    <row r="258" spans="1:17" ht="14.45" customHeight="1" x14ac:dyDescent="0.2">
      <c r="A258" s="715" t="s">
        <v>4677</v>
      </c>
      <c r="B258" s="716" t="s">
        <v>4318</v>
      </c>
      <c r="C258" s="716" t="s">
        <v>3579</v>
      </c>
      <c r="D258" s="716" t="s">
        <v>4804</v>
      </c>
      <c r="E258" s="716" t="s">
        <v>4805</v>
      </c>
      <c r="F258" s="720"/>
      <c r="G258" s="720"/>
      <c r="H258" s="720"/>
      <c r="I258" s="720"/>
      <c r="J258" s="720"/>
      <c r="K258" s="720"/>
      <c r="L258" s="720"/>
      <c r="M258" s="720"/>
      <c r="N258" s="720">
        <v>2</v>
      </c>
      <c r="O258" s="720">
        <v>4752.1000000000004</v>
      </c>
      <c r="P258" s="745"/>
      <c r="Q258" s="721">
        <v>2376.0500000000002</v>
      </c>
    </row>
    <row r="259" spans="1:17" ht="14.45" customHeight="1" x14ac:dyDescent="0.2">
      <c r="A259" s="715" t="s">
        <v>4677</v>
      </c>
      <c r="B259" s="716" t="s">
        <v>4318</v>
      </c>
      <c r="C259" s="716" t="s">
        <v>3579</v>
      </c>
      <c r="D259" s="716" t="s">
        <v>4806</v>
      </c>
      <c r="E259" s="716" t="s">
        <v>4807</v>
      </c>
      <c r="F259" s="720">
        <v>5</v>
      </c>
      <c r="G259" s="720">
        <v>132501.04999999999</v>
      </c>
      <c r="H259" s="720">
        <v>3.4888161289982826</v>
      </c>
      <c r="I259" s="720">
        <v>26500.21</v>
      </c>
      <c r="J259" s="720">
        <v>3</v>
      </c>
      <c r="K259" s="720">
        <v>37978.800000000003</v>
      </c>
      <c r="L259" s="720">
        <v>1</v>
      </c>
      <c r="M259" s="720">
        <v>12659.6</v>
      </c>
      <c r="N259" s="720">
        <v>3</v>
      </c>
      <c r="O259" s="720">
        <v>51570.21</v>
      </c>
      <c r="P259" s="745">
        <v>1.3578683370722613</v>
      </c>
      <c r="Q259" s="721">
        <v>17190.07</v>
      </c>
    </row>
    <row r="260" spans="1:17" ht="14.45" customHeight="1" x14ac:dyDescent="0.2">
      <c r="A260" s="715" t="s">
        <v>4677</v>
      </c>
      <c r="B260" s="716" t="s">
        <v>4318</v>
      </c>
      <c r="C260" s="716" t="s">
        <v>3579</v>
      </c>
      <c r="D260" s="716" t="s">
        <v>4808</v>
      </c>
      <c r="E260" s="716" t="s">
        <v>4809</v>
      </c>
      <c r="F260" s="720">
        <v>7</v>
      </c>
      <c r="G260" s="720">
        <v>2666.02</v>
      </c>
      <c r="H260" s="720">
        <v>1.75</v>
      </c>
      <c r="I260" s="720">
        <v>380.86</v>
      </c>
      <c r="J260" s="720">
        <v>4</v>
      </c>
      <c r="K260" s="720">
        <v>1523.44</v>
      </c>
      <c r="L260" s="720">
        <v>1</v>
      </c>
      <c r="M260" s="720">
        <v>380.86</v>
      </c>
      <c r="N260" s="720"/>
      <c r="O260" s="720"/>
      <c r="P260" s="745"/>
      <c r="Q260" s="721"/>
    </row>
    <row r="261" spans="1:17" ht="14.45" customHeight="1" x14ac:dyDescent="0.2">
      <c r="A261" s="715" t="s">
        <v>4677</v>
      </c>
      <c r="B261" s="716" t="s">
        <v>4318</v>
      </c>
      <c r="C261" s="716" t="s">
        <v>3579</v>
      </c>
      <c r="D261" s="716" t="s">
        <v>4810</v>
      </c>
      <c r="E261" s="716" t="s">
        <v>4811</v>
      </c>
      <c r="F261" s="720"/>
      <c r="G261" s="720"/>
      <c r="H261" s="720"/>
      <c r="I261" s="720"/>
      <c r="J261" s="720">
        <v>2</v>
      </c>
      <c r="K261" s="720">
        <v>6357.26</v>
      </c>
      <c r="L261" s="720">
        <v>1</v>
      </c>
      <c r="M261" s="720">
        <v>3178.63</v>
      </c>
      <c r="N261" s="720">
        <v>1</v>
      </c>
      <c r="O261" s="720">
        <v>3178.63</v>
      </c>
      <c r="P261" s="745">
        <v>0.5</v>
      </c>
      <c r="Q261" s="721">
        <v>3178.63</v>
      </c>
    </row>
    <row r="262" spans="1:17" ht="14.45" customHeight="1" x14ac:dyDescent="0.2">
      <c r="A262" s="715" t="s">
        <v>4677</v>
      </c>
      <c r="B262" s="716" t="s">
        <v>4318</v>
      </c>
      <c r="C262" s="716" t="s">
        <v>3579</v>
      </c>
      <c r="D262" s="716" t="s">
        <v>4812</v>
      </c>
      <c r="E262" s="716" t="s">
        <v>4813</v>
      </c>
      <c r="F262" s="720">
        <v>2</v>
      </c>
      <c r="G262" s="720">
        <v>194235</v>
      </c>
      <c r="H262" s="720"/>
      <c r="I262" s="720">
        <v>97117.5</v>
      </c>
      <c r="J262" s="720"/>
      <c r="K262" s="720"/>
      <c r="L262" s="720"/>
      <c r="M262" s="720"/>
      <c r="N262" s="720">
        <v>2</v>
      </c>
      <c r="O262" s="720">
        <v>113849</v>
      </c>
      <c r="P262" s="745"/>
      <c r="Q262" s="721">
        <v>56924.5</v>
      </c>
    </row>
    <row r="263" spans="1:17" ht="14.45" customHeight="1" x14ac:dyDescent="0.2">
      <c r="A263" s="715" t="s">
        <v>4677</v>
      </c>
      <c r="B263" s="716" t="s">
        <v>4318</v>
      </c>
      <c r="C263" s="716" t="s">
        <v>3579</v>
      </c>
      <c r="D263" s="716" t="s">
        <v>4814</v>
      </c>
      <c r="E263" s="716" t="s">
        <v>4815</v>
      </c>
      <c r="F263" s="720">
        <v>2</v>
      </c>
      <c r="G263" s="720">
        <v>620</v>
      </c>
      <c r="H263" s="720">
        <v>2</v>
      </c>
      <c r="I263" s="720">
        <v>310</v>
      </c>
      <c r="J263" s="720">
        <v>1</v>
      </c>
      <c r="K263" s="720">
        <v>310</v>
      </c>
      <c r="L263" s="720">
        <v>1</v>
      </c>
      <c r="M263" s="720">
        <v>310</v>
      </c>
      <c r="N263" s="720"/>
      <c r="O263" s="720"/>
      <c r="P263" s="745"/>
      <c r="Q263" s="721"/>
    </row>
    <row r="264" spans="1:17" ht="14.45" customHeight="1" x14ac:dyDescent="0.2">
      <c r="A264" s="715" t="s">
        <v>4677</v>
      </c>
      <c r="B264" s="716" t="s">
        <v>4318</v>
      </c>
      <c r="C264" s="716" t="s">
        <v>3579</v>
      </c>
      <c r="D264" s="716" t="s">
        <v>4816</v>
      </c>
      <c r="E264" s="716" t="s">
        <v>4801</v>
      </c>
      <c r="F264" s="720"/>
      <c r="G264" s="720"/>
      <c r="H264" s="720"/>
      <c r="I264" s="720"/>
      <c r="J264" s="720"/>
      <c r="K264" s="720"/>
      <c r="L264" s="720"/>
      <c r="M264" s="720"/>
      <c r="N264" s="720">
        <v>1</v>
      </c>
      <c r="O264" s="720">
        <v>16952.3</v>
      </c>
      <c r="P264" s="745"/>
      <c r="Q264" s="721">
        <v>16952.3</v>
      </c>
    </row>
    <row r="265" spans="1:17" ht="14.45" customHeight="1" x14ac:dyDescent="0.2">
      <c r="A265" s="715" t="s">
        <v>4677</v>
      </c>
      <c r="B265" s="716" t="s">
        <v>4318</v>
      </c>
      <c r="C265" s="716" t="s">
        <v>3579</v>
      </c>
      <c r="D265" s="716" t="s">
        <v>4817</v>
      </c>
      <c r="E265" s="716" t="s">
        <v>4818</v>
      </c>
      <c r="F265" s="720"/>
      <c r="G265" s="720"/>
      <c r="H265" s="720"/>
      <c r="I265" s="720"/>
      <c r="J265" s="720"/>
      <c r="K265" s="720"/>
      <c r="L265" s="720"/>
      <c r="M265" s="720"/>
      <c r="N265" s="720">
        <v>1</v>
      </c>
      <c r="O265" s="720">
        <v>44071.360000000001</v>
      </c>
      <c r="P265" s="745"/>
      <c r="Q265" s="721">
        <v>44071.360000000001</v>
      </c>
    </row>
    <row r="266" spans="1:17" ht="14.45" customHeight="1" x14ac:dyDescent="0.2">
      <c r="A266" s="715" t="s">
        <v>4677</v>
      </c>
      <c r="B266" s="716" t="s">
        <v>4318</v>
      </c>
      <c r="C266" s="716" t="s">
        <v>3579</v>
      </c>
      <c r="D266" s="716" t="s">
        <v>4819</v>
      </c>
      <c r="E266" s="716" t="s">
        <v>4820</v>
      </c>
      <c r="F266" s="720">
        <v>1</v>
      </c>
      <c r="G266" s="720">
        <v>75000</v>
      </c>
      <c r="H266" s="720"/>
      <c r="I266" s="720">
        <v>75000</v>
      </c>
      <c r="J266" s="720"/>
      <c r="K266" s="720"/>
      <c r="L266" s="720"/>
      <c r="M266" s="720"/>
      <c r="N266" s="720">
        <v>1</v>
      </c>
      <c r="O266" s="720">
        <v>75000</v>
      </c>
      <c r="P266" s="745"/>
      <c r="Q266" s="721">
        <v>75000</v>
      </c>
    </row>
    <row r="267" spans="1:17" ht="14.45" customHeight="1" x14ac:dyDescent="0.2">
      <c r="A267" s="715" t="s">
        <v>4677</v>
      </c>
      <c r="B267" s="716" t="s">
        <v>4318</v>
      </c>
      <c r="C267" s="716" t="s">
        <v>3579</v>
      </c>
      <c r="D267" s="716" t="s">
        <v>4821</v>
      </c>
      <c r="E267" s="716" t="s">
        <v>4822</v>
      </c>
      <c r="F267" s="720"/>
      <c r="G267" s="720"/>
      <c r="H267" s="720"/>
      <c r="I267" s="720"/>
      <c r="J267" s="720">
        <v>1</v>
      </c>
      <c r="K267" s="720">
        <v>36225</v>
      </c>
      <c r="L267" s="720">
        <v>1</v>
      </c>
      <c r="M267" s="720">
        <v>36225</v>
      </c>
      <c r="N267" s="720">
        <v>2</v>
      </c>
      <c r="O267" s="720">
        <v>53406</v>
      </c>
      <c r="P267" s="745">
        <v>1.4742857142857142</v>
      </c>
      <c r="Q267" s="721">
        <v>26703</v>
      </c>
    </row>
    <row r="268" spans="1:17" ht="14.45" customHeight="1" x14ac:dyDescent="0.2">
      <c r="A268" s="715" t="s">
        <v>4677</v>
      </c>
      <c r="B268" s="716" t="s">
        <v>4318</v>
      </c>
      <c r="C268" s="716" t="s">
        <v>3579</v>
      </c>
      <c r="D268" s="716" t="s">
        <v>4823</v>
      </c>
      <c r="E268" s="716" t="s">
        <v>4824</v>
      </c>
      <c r="F268" s="720">
        <v>1</v>
      </c>
      <c r="G268" s="720">
        <v>8860.39</v>
      </c>
      <c r="H268" s="720"/>
      <c r="I268" s="720">
        <v>8860.39</v>
      </c>
      <c r="J268" s="720"/>
      <c r="K268" s="720"/>
      <c r="L268" s="720"/>
      <c r="M268" s="720"/>
      <c r="N268" s="720"/>
      <c r="O268" s="720"/>
      <c r="P268" s="745"/>
      <c r="Q268" s="721"/>
    </row>
    <row r="269" spans="1:17" ht="14.45" customHeight="1" x14ac:dyDescent="0.2">
      <c r="A269" s="715" t="s">
        <v>4677</v>
      </c>
      <c r="B269" s="716" t="s">
        <v>4318</v>
      </c>
      <c r="C269" s="716" t="s">
        <v>3579</v>
      </c>
      <c r="D269" s="716" t="s">
        <v>4825</v>
      </c>
      <c r="E269" s="716" t="s">
        <v>4826</v>
      </c>
      <c r="F269" s="720"/>
      <c r="G269" s="720"/>
      <c r="H269" s="720"/>
      <c r="I269" s="720"/>
      <c r="J269" s="720">
        <v>2</v>
      </c>
      <c r="K269" s="720">
        <v>53000</v>
      </c>
      <c r="L269" s="720">
        <v>1</v>
      </c>
      <c r="M269" s="720">
        <v>26500</v>
      </c>
      <c r="N269" s="720"/>
      <c r="O269" s="720"/>
      <c r="P269" s="745"/>
      <c r="Q269" s="721"/>
    </row>
    <row r="270" spans="1:17" ht="14.45" customHeight="1" x14ac:dyDescent="0.2">
      <c r="A270" s="715" t="s">
        <v>4677</v>
      </c>
      <c r="B270" s="716" t="s">
        <v>4318</v>
      </c>
      <c r="C270" s="716" t="s">
        <v>3579</v>
      </c>
      <c r="D270" s="716" t="s">
        <v>4827</v>
      </c>
      <c r="E270" s="716" t="s">
        <v>4828</v>
      </c>
      <c r="F270" s="720"/>
      <c r="G270" s="720"/>
      <c r="H270" s="720"/>
      <c r="I270" s="720"/>
      <c r="J270" s="720"/>
      <c r="K270" s="720"/>
      <c r="L270" s="720"/>
      <c r="M270" s="720"/>
      <c r="N270" s="720">
        <v>1</v>
      </c>
      <c r="O270" s="720">
        <v>4857</v>
      </c>
      <c r="P270" s="745"/>
      <c r="Q270" s="721">
        <v>4857</v>
      </c>
    </row>
    <row r="271" spans="1:17" ht="14.45" customHeight="1" x14ac:dyDescent="0.2">
      <c r="A271" s="715" t="s">
        <v>4677</v>
      </c>
      <c r="B271" s="716" t="s">
        <v>4318</v>
      </c>
      <c r="C271" s="716" t="s">
        <v>3579</v>
      </c>
      <c r="D271" s="716" t="s">
        <v>4829</v>
      </c>
      <c r="E271" s="716" t="s">
        <v>4830</v>
      </c>
      <c r="F271" s="720"/>
      <c r="G271" s="720"/>
      <c r="H271" s="720"/>
      <c r="I271" s="720"/>
      <c r="J271" s="720">
        <v>2</v>
      </c>
      <c r="K271" s="720">
        <v>5929</v>
      </c>
      <c r="L271" s="720">
        <v>1</v>
      </c>
      <c r="M271" s="720">
        <v>2964.5</v>
      </c>
      <c r="N271" s="720">
        <v>3</v>
      </c>
      <c r="O271" s="720">
        <v>8893.5</v>
      </c>
      <c r="P271" s="745">
        <v>1.5</v>
      </c>
      <c r="Q271" s="721">
        <v>2964.5</v>
      </c>
    </row>
    <row r="272" spans="1:17" ht="14.45" customHeight="1" x14ac:dyDescent="0.2">
      <c r="A272" s="715" t="s">
        <v>4677</v>
      </c>
      <c r="B272" s="716" t="s">
        <v>4318</v>
      </c>
      <c r="C272" s="716" t="s">
        <v>3579</v>
      </c>
      <c r="D272" s="716" t="s">
        <v>4831</v>
      </c>
      <c r="E272" s="716" t="s">
        <v>4820</v>
      </c>
      <c r="F272" s="720"/>
      <c r="G272" s="720"/>
      <c r="H272" s="720"/>
      <c r="I272" s="720"/>
      <c r="J272" s="720"/>
      <c r="K272" s="720"/>
      <c r="L272" s="720"/>
      <c r="M272" s="720"/>
      <c r="N272" s="720">
        <v>4</v>
      </c>
      <c r="O272" s="720">
        <v>256000</v>
      </c>
      <c r="P272" s="745"/>
      <c r="Q272" s="721">
        <v>64000</v>
      </c>
    </row>
    <row r="273" spans="1:17" ht="14.45" customHeight="1" x14ac:dyDescent="0.2">
      <c r="A273" s="715" t="s">
        <v>4677</v>
      </c>
      <c r="B273" s="716" t="s">
        <v>4318</v>
      </c>
      <c r="C273" s="716" t="s">
        <v>3579</v>
      </c>
      <c r="D273" s="716" t="s">
        <v>4832</v>
      </c>
      <c r="E273" s="716" t="s">
        <v>4833</v>
      </c>
      <c r="F273" s="720"/>
      <c r="G273" s="720"/>
      <c r="H273" s="720"/>
      <c r="I273" s="720"/>
      <c r="J273" s="720"/>
      <c r="K273" s="720"/>
      <c r="L273" s="720"/>
      <c r="M273" s="720"/>
      <c r="N273" s="720">
        <v>2</v>
      </c>
      <c r="O273" s="720">
        <v>13847.2</v>
      </c>
      <c r="P273" s="745"/>
      <c r="Q273" s="721">
        <v>6923.6</v>
      </c>
    </row>
    <row r="274" spans="1:17" ht="14.45" customHeight="1" x14ac:dyDescent="0.2">
      <c r="A274" s="715" t="s">
        <v>4677</v>
      </c>
      <c r="B274" s="716" t="s">
        <v>4318</v>
      </c>
      <c r="C274" s="716" t="s">
        <v>3579</v>
      </c>
      <c r="D274" s="716" t="s">
        <v>4834</v>
      </c>
      <c r="E274" s="716" t="s">
        <v>4835</v>
      </c>
      <c r="F274" s="720"/>
      <c r="G274" s="720"/>
      <c r="H274" s="720"/>
      <c r="I274" s="720"/>
      <c r="J274" s="720"/>
      <c r="K274" s="720"/>
      <c r="L274" s="720"/>
      <c r="M274" s="720"/>
      <c r="N274" s="720">
        <v>1</v>
      </c>
      <c r="O274" s="720">
        <v>6632.73</v>
      </c>
      <c r="P274" s="745"/>
      <c r="Q274" s="721">
        <v>6632.73</v>
      </c>
    </row>
    <row r="275" spans="1:17" ht="14.45" customHeight="1" x14ac:dyDescent="0.2">
      <c r="A275" s="715" t="s">
        <v>4677</v>
      </c>
      <c r="B275" s="716" t="s">
        <v>4318</v>
      </c>
      <c r="C275" s="716" t="s">
        <v>3579</v>
      </c>
      <c r="D275" s="716" t="s">
        <v>4836</v>
      </c>
      <c r="E275" s="716" t="s">
        <v>4837</v>
      </c>
      <c r="F275" s="720"/>
      <c r="G275" s="720"/>
      <c r="H275" s="720"/>
      <c r="I275" s="720"/>
      <c r="J275" s="720"/>
      <c r="K275" s="720"/>
      <c r="L275" s="720"/>
      <c r="M275" s="720"/>
      <c r="N275" s="720">
        <v>2</v>
      </c>
      <c r="O275" s="720">
        <v>1482</v>
      </c>
      <c r="P275" s="745"/>
      <c r="Q275" s="721">
        <v>741</v>
      </c>
    </row>
    <row r="276" spans="1:17" ht="14.45" customHeight="1" x14ac:dyDescent="0.2">
      <c r="A276" s="715" t="s">
        <v>4677</v>
      </c>
      <c r="B276" s="716" t="s">
        <v>4318</v>
      </c>
      <c r="C276" s="716" t="s">
        <v>3579</v>
      </c>
      <c r="D276" s="716" t="s">
        <v>4838</v>
      </c>
      <c r="E276" s="716" t="s">
        <v>4723</v>
      </c>
      <c r="F276" s="720"/>
      <c r="G276" s="720"/>
      <c r="H276" s="720"/>
      <c r="I276" s="720"/>
      <c r="J276" s="720"/>
      <c r="K276" s="720"/>
      <c r="L276" s="720"/>
      <c r="M276" s="720"/>
      <c r="N276" s="720">
        <v>5</v>
      </c>
      <c r="O276" s="720">
        <v>8702.11</v>
      </c>
      <c r="P276" s="745"/>
      <c r="Q276" s="721">
        <v>1740.422</v>
      </c>
    </row>
    <row r="277" spans="1:17" ht="14.45" customHeight="1" x14ac:dyDescent="0.2">
      <c r="A277" s="715" t="s">
        <v>4677</v>
      </c>
      <c r="B277" s="716" t="s">
        <v>4318</v>
      </c>
      <c r="C277" s="716" t="s">
        <v>3579</v>
      </c>
      <c r="D277" s="716" t="s">
        <v>4839</v>
      </c>
      <c r="E277" s="716" t="s">
        <v>4747</v>
      </c>
      <c r="F277" s="720">
        <v>1</v>
      </c>
      <c r="G277" s="720">
        <v>2697.24</v>
      </c>
      <c r="H277" s="720"/>
      <c r="I277" s="720">
        <v>2697.24</v>
      </c>
      <c r="J277" s="720"/>
      <c r="K277" s="720"/>
      <c r="L277" s="720"/>
      <c r="M277" s="720"/>
      <c r="N277" s="720"/>
      <c r="O277" s="720"/>
      <c r="P277" s="745"/>
      <c r="Q277" s="721"/>
    </row>
    <row r="278" spans="1:17" ht="14.45" customHeight="1" x14ac:dyDescent="0.2">
      <c r="A278" s="715" t="s">
        <v>4677</v>
      </c>
      <c r="B278" s="716" t="s">
        <v>4318</v>
      </c>
      <c r="C278" s="716" t="s">
        <v>3579</v>
      </c>
      <c r="D278" s="716" t="s">
        <v>4840</v>
      </c>
      <c r="E278" s="716" t="s">
        <v>4841</v>
      </c>
      <c r="F278" s="720"/>
      <c r="G278" s="720"/>
      <c r="H278" s="720"/>
      <c r="I278" s="720"/>
      <c r="J278" s="720"/>
      <c r="K278" s="720"/>
      <c r="L278" s="720"/>
      <c r="M278" s="720"/>
      <c r="N278" s="720">
        <v>1</v>
      </c>
      <c r="O278" s="720">
        <v>11283.67</v>
      </c>
      <c r="P278" s="745"/>
      <c r="Q278" s="721">
        <v>11283.67</v>
      </c>
    </row>
    <row r="279" spans="1:17" ht="14.45" customHeight="1" x14ac:dyDescent="0.2">
      <c r="A279" s="715" t="s">
        <v>4677</v>
      </c>
      <c r="B279" s="716" t="s">
        <v>4318</v>
      </c>
      <c r="C279" s="716" t="s">
        <v>3029</v>
      </c>
      <c r="D279" s="716" t="s">
        <v>4842</v>
      </c>
      <c r="E279" s="716" t="s">
        <v>4843</v>
      </c>
      <c r="F279" s="720"/>
      <c r="G279" s="720"/>
      <c r="H279" s="720"/>
      <c r="I279" s="720"/>
      <c r="J279" s="720">
        <v>3</v>
      </c>
      <c r="K279" s="720">
        <v>642</v>
      </c>
      <c r="L279" s="720">
        <v>1</v>
      </c>
      <c r="M279" s="720">
        <v>214</v>
      </c>
      <c r="N279" s="720"/>
      <c r="O279" s="720"/>
      <c r="P279" s="745"/>
      <c r="Q279" s="721"/>
    </row>
    <row r="280" spans="1:17" ht="14.45" customHeight="1" x14ac:dyDescent="0.2">
      <c r="A280" s="715" t="s">
        <v>4677</v>
      </c>
      <c r="B280" s="716" t="s">
        <v>4318</v>
      </c>
      <c r="C280" s="716" t="s">
        <v>3029</v>
      </c>
      <c r="D280" s="716" t="s">
        <v>4844</v>
      </c>
      <c r="E280" s="716" t="s">
        <v>4845</v>
      </c>
      <c r="F280" s="720">
        <v>5</v>
      </c>
      <c r="G280" s="720">
        <v>775</v>
      </c>
      <c r="H280" s="720">
        <v>2.5</v>
      </c>
      <c r="I280" s="720">
        <v>155</v>
      </c>
      <c r="J280" s="720">
        <v>2</v>
      </c>
      <c r="K280" s="720">
        <v>310</v>
      </c>
      <c r="L280" s="720">
        <v>1</v>
      </c>
      <c r="M280" s="720">
        <v>155</v>
      </c>
      <c r="N280" s="720">
        <v>1</v>
      </c>
      <c r="O280" s="720">
        <v>156</v>
      </c>
      <c r="P280" s="745">
        <v>0.50322580645161286</v>
      </c>
      <c r="Q280" s="721">
        <v>156</v>
      </c>
    </row>
    <row r="281" spans="1:17" ht="14.45" customHeight="1" x14ac:dyDescent="0.2">
      <c r="A281" s="715" t="s">
        <v>4677</v>
      </c>
      <c r="B281" s="716" t="s">
        <v>4318</v>
      </c>
      <c r="C281" s="716" t="s">
        <v>3029</v>
      </c>
      <c r="D281" s="716" t="s">
        <v>4846</v>
      </c>
      <c r="E281" s="716" t="s">
        <v>4847</v>
      </c>
      <c r="F281" s="720"/>
      <c r="G281" s="720"/>
      <c r="H281" s="720"/>
      <c r="I281" s="720"/>
      <c r="J281" s="720">
        <v>1</v>
      </c>
      <c r="K281" s="720">
        <v>187</v>
      </c>
      <c r="L281" s="720">
        <v>1</v>
      </c>
      <c r="M281" s="720">
        <v>187</v>
      </c>
      <c r="N281" s="720">
        <v>2</v>
      </c>
      <c r="O281" s="720">
        <v>376</v>
      </c>
      <c r="P281" s="745">
        <v>2.0106951871657754</v>
      </c>
      <c r="Q281" s="721">
        <v>188</v>
      </c>
    </row>
    <row r="282" spans="1:17" ht="14.45" customHeight="1" x14ac:dyDescent="0.2">
      <c r="A282" s="715" t="s">
        <v>4677</v>
      </c>
      <c r="B282" s="716" t="s">
        <v>4318</v>
      </c>
      <c r="C282" s="716" t="s">
        <v>3029</v>
      </c>
      <c r="D282" s="716" t="s">
        <v>4848</v>
      </c>
      <c r="E282" s="716" t="s">
        <v>4849</v>
      </c>
      <c r="F282" s="720">
        <v>40</v>
      </c>
      <c r="G282" s="720">
        <v>5120</v>
      </c>
      <c r="H282" s="720">
        <v>1.0526315789473684</v>
      </c>
      <c r="I282" s="720">
        <v>128</v>
      </c>
      <c r="J282" s="720">
        <v>38</v>
      </c>
      <c r="K282" s="720">
        <v>4864</v>
      </c>
      <c r="L282" s="720">
        <v>1</v>
      </c>
      <c r="M282" s="720">
        <v>128</v>
      </c>
      <c r="N282" s="720">
        <v>44</v>
      </c>
      <c r="O282" s="720">
        <v>5676</v>
      </c>
      <c r="P282" s="745">
        <v>1.1669407894736843</v>
      </c>
      <c r="Q282" s="721">
        <v>129</v>
      </c>
    </row>
    <row r="283" spans="1:17" ht="14.45" customHeight="1" x14ac:dyDescent="0.2">
      <c r="A283" s="715" t="s">
        <v>4677</v>
      </c>
      <c r="B283" s="716" t="s">
        <v>4318</v>
      </c>
      <c r="C283" s="716" t="s">
        <v>3029</v>
      </c>
      <c r="D283" s="716" t="s">
        <v>4850</v>
      </c>
      <c r="E283" s="716" t="s">
        <v>4851</v>
      </c>
      <c r="F283" s="720">
        <v>72</v>
      </c>
      <c r="G283" s="720">
        <v>16056</v>
      </c>
      <c r="H283" s="720">
        <v>1.1750585480093676</v>
      </c>
      <c r="I283" s="720">
        <v>223</v>
      </c>
      <c r="J283" s="720">
        <v>61</v>
      </c>
      <c r="K283" s="720">
        <v>13664</v>
      </c>
      <c r="L283" s="720">
        <v>1</v>
      </c>
      <c r="M283" s="720">
        <v>224</v>
      </c>
      <c r="N283" s="720">
        <v>97</v>
      </c>
      <c r="O283" s="720">
        <v>21825</v>
      </c>
      <c r="P283" s="745">
        <v>1.5972628805620608</v>
      </c>
      <c r="Q283" s="721">
        <v>225</v>
      </c>
    </row>
    <row r="284" spans="1:17" ht="14.45" customHeight="1" x14ac:dyDescent="0.2">
      <c r="A284" s="715" t="s">
        <v>4677</v>
      </c>
      <c r="B284" s="716" t="s">
        <v>4318</v>
      </c>
      <c r="C284" s="716" t="s">
        <v>3029</v>
      </c>
      <c r="D284" s="716" t="s">
        <v>4852</v>
      </c>
      <c r="E284" s="716" t="s">
        <v>4853</v>
      </c>
      <c r="F284" s="720">
        <v>1</v>
      </c>
      <c r="G284" s="720">
        <v>223</v>
      </c>
      <c r="H284" s="720"/>
      <c r="I284" s="720">
        <v>223</v>
      </c>
      <c r="J284" s="720"/>
      <c r="K284" s="720"/>
      <c r="L284" s="720"/>
      <c r="M284" s="720"/>
      <c r="N284" s="720">
        <v>2</v>
      </c>
      <c r="O284" s="720">
        <v>450</v>
      </c>
      <c r="P284" s="745"/>
      <c r="Q284" s="721">
        <v>225</v>
      </c>
    </row>
    <row r="285" spans="1:17" ht="14.45" customHeight="1" x14ac:dyDescent="0.2">
      <c r="A285" s="715" t="s">
        <v>4677</v>
      </c>
      <c r="B285" s="716" t="s">
        <v>4318</v>
      </c>
      <c r="C285" s="716" t="s">
        <v>3029</v>
      </c>
      <c r="D285" s="716" t="s">
        <v>4854</v>
      </c>
      <c r="E285" s="716" t="s">
        <v>4855</v>
      </c>
      <c r="F285" s="720">
        <v>61</v>
      </c>
      <c r="G285" s="720">
        <v>13725</v>
      </c>
      <c r="H285" s="720">
        <v>0.71447162935970854</v>
      </c>
      <c r="I285" s="720">
        <v>225</v>
      </c>
      <c r="J285" s="720">
        <v>85</v>
      </c>
      <c r="K285" s="720">
        <v>19210</v>
      </c>
      <c r="L285" s="720">
        <v>1</v>
      </c>
      <c r="M285" s="720">
        <v>226</v>
      </c>
      <c r="N285" s="720">
        <v>92</v>
      </c>
      <c r="O285" s="720">
        <v>20884</v>
      </c>
      <c r="P285" s="745">
        <v>1.0871421134825612</v>
      </c>
      <c r="Q285" s="721">
        <v>227</v>
      </c>
    </row>
    <row r="286" spans="1:17" ht="14.45" customHeight="1" x14ac:dyDescent="0.2">
      <c r="A286" s="715" t="s">
        <v>4677</v>
      </c>
      <c r="B286" s="716" t="s">
        <v>4318</v>
      </c>
      <c r="C286" s="716" t="s">
        <v>3029</v>
      </c>
      <c r="D286" s="716" t="s">
        <v>4856</v>
      </c>
      <c r="E286" s="716" t="s">
        <v>4857</v>
      </c>
      <c r="F286" s="720">
        <v>3</v>
      </c>
      <c r="G286" s="720">
        <v>1878</v>
      </c>
      <c r="H286" s="720">
        <v>0.6</v>
      </c>
      <c r="I286" s="720">
        <v>626</v>
      </c>
      <c r="J286" s="720">
        <v>5</v>
      </c>
      <c r="K286" s="720">
        <v>3130</v>
      </c>
      <c r="L286" s="720">
        <v>1</v>
      </c>
      <c r="M286" s="720">
        <v>626</v>
      </c>
      <c r="N286" s="720">
        <v>3</v>
      </c>
      <c r="O286" s="720">
        <v>1887</v>
      </c>
      <c r="P286" s="745">
        <v>0.60287539936102241</v>
      </c>
      <c r="Q286" s="721">
        <v>629</v>
      </c>
    </row>
    <row r="287" spans="1:17" ht="14.45" customHeight="1" x14ac:dyDescent="0.2">
      <c r="A287" s="715" t="s">
        <v>4677</v>
      </c>
      <c r="B287" s="716" t="s">
        <v>4318</v>
      </c>
      <c r="C287" s="716" t="s">
        <v>3029</v>
      </c>
      <c r="D287" s="716" t="s">
        <v>4858</v>
      </c>
      <c r="E287" s="716" t="s">
        <v>4859</v>
      </c>
      <c r="F287" s="720">
        <v>1</v>
      </c>
      <c r="G287" s="720">
        <v>350</v>
      </c>
      <c r="H287" s="720"/>
      <c r="I287" s="720">
        <v>350</v>
      </c>
      <c r="J287" s="720"/>
      <c r="K287" s="720"/>
      <c r="L287" s="720"/>
      <c r="M287" s="720"/>
      <c r="N287" s="720"/>
      <c r="O287" s="720"/>
      <c r="P287" s="745"/>
      <c r="Q287" s="721"/>
    </row>
    <row r="288" spans="1:17" ht="14.45" customHeight="1" x14ac:dyDescent="0.2">
      <c r="A288" s="715" t="s">
        <v>4677</v>
      </c>
      <c r="B288" s="716" t="s">
        <v>4318</v>
      </c>
      <c r="C288" s="716" t="s">
        <v>3029</v>
      </c>
      <c r="D288" s="716" t="s">
        <v>4860</v>
      </c>
      <c r="E288" s="716" t="s">
        <v>4861</v>
      </c>
      <c r="F288" s="720">
        <v>2</v>
      </c>
      <c r="G288" s="720">
        <v>27690</v>
      </c>
      <c r="H288" s="720"/>
      <c r="I288" s="720">
        <v>13845</v>
      </c>
      <c r="J288" s="720"/>
      <c r="K288" s="720"/>
      <c r="L288" s="720"/>
      <c r="M288" s="720"/>
      <c r="N288" s="720"/>
      <c r="O288" s="720"/>
      <c r="P288" s="745"/>
      <c r="Q288" s="721"/>
    </row>
    <row r="289" spans="1:17" ht="14.45" customHeight="1" x14ac:dyDescent="0.2">
      <c r="A289" s="715" t="s">
        <v>4677</v>
      </c>
      <c r="B289" s="716" t="s">
        <v>4318</v>
      </c>
      <c r="C289" s="716" t="s">
        <v>3029</v>
      </c>
      <c r="D289" s="716" t="s">
        <v>4862</v>
      </c>
      <c r="E289" s="716" t="s">
        <v>4863</v>
      </c>
      <c r="F289" s="720">
        <v>10</v>
      </c>
      <c r="G289" s="720">
        <v>41640</v>
      </c>
      <c r="H289" s="720">
        <v>0.6663466154584734</v>
      </c>
      <c r="I289" s="720">
        <v>4164</v>
      </c>
      <c r="J289" s="720">
        <v>15</v>
      </c>
      <c r="K289" s="720">
        <v>62490</v>
      </c>
      <c r="L289" s="720">
        <v>1</v>
      </c>
      <c r="M289" s="720">
        <v>4166</v>
      </c>
      <c r="N289" s="720">
        <v>20</v>
      </c>
      <c r="O289" s="720">
        <v>83460</v>
      </c>
      <c r="P289" s="745">
        <v>1.3355736917906864</v>
      </c>
      <c r="Q289" s="721">
        <v>4173</v>
      </c>
    </row>
    <row r="290" spans="1:17" ht="14.45" customHeight="1" x14ac:dyDescent="0.2">
      <c r="A290" s="715" t="s">
        <v>4677</v>
      </c>
      <c r="B290" s="716" t="s">
        <v>4318</v>
      </c>
      <c r="C290" s="716" t="s">
        <v>3029</v>
      </c>
      <c r="D290" s="716" t="s">
        <v>4864</v>
      </c>
      <c r="E290" s="716" t="s">
        <v>4865</v>
      </c>
      <c r="F290" s="720">
        <v>4</v>
      </c>
      <c r="G290" s="720">
        <v>1132</v>
      </c>
      <c r="H290" s="720">
        <v>2</v>
      </c>
      <c r="I290" s="720">
        <v>283</v>
      </c>
      <c r="J290" s="720">
        <v>2</v>
      </c>
      <c r="K290" s="720">
        <v>566</v>
      </c>
      <c r="L290" s="720">
        <v>1</v>
      </c>
      <c r="M290" s="720">
        <v>283</v>
      </c>
      <c r="N290" s="720">
        <v>7</v>
      </c>
      <c r="O290" s="720">
        <v>1988</v>
      </c>
      <c r="P290" s="745">
        <v>3.5123674911660778</v>
      </c>
      <c r="Q290" s="721">
        <v>284</v>
      </c>
    </row>
    <row r="291" spans="1:17" ht="14.45" customHeight="1" x14ac:dyDescent="0.2">
      <c r="A291" s="715" t="s">
        <v>4677</v>
      </c>
      <c r="B291" s="716" t="s">
        <v>4318</v>
      </c>
      <c r="C291" s="716" t="s">
        <v>3029</v>
      </c>
      <c r="D291" s="716" t="s">
        <v>4866</v>
      </c>
      <c r="E291" s="716" t="s">
        <v>4867</v>
      </c>
      <c r="F291" s="720">
        <v>1</v>
      </c>
      <c r="G291" s="720">
        <v>6320</v>
      </c>
      <c r="H291" s="720">
        <v>0.33319274567692958</v>
      </c>
      <c r="I291" s="720">
        <v>6320</v>
      </c>
      <c r="J291" s="720">
        <v>3</v>
      </c>
      <c r="K291" s="720">
        <v>18968</v>
      </c>
      <c r="L291" s="720">
        <v>1</v>
      </c>
      <c r="M291" s="720">
        <v>6322.666666666667</v>
      </c>
      <c r="N291" s="720">
        <v>3</v>
      </c>
      <c r="O291" s="720">
        <v>18993</v>
      </c>
      <c r="P291" s="745">
        <v>1.0013180092787852</v>
      </c>
      <c r="Q291" s="721">
        <v>6331</v>
      </c>
    </row>
    <row r="292" spans="1:17" ht="14.45" customHeight="1" x14ac:dyDescent="0.2">
      <c r="A292" s="715" t="s">
        <v>4677</v>
      </c>
      <c r="B292" s="716" t="s">
        <v>4318</v>
      </c>
      <c r="C292" s="716" t="s">
        <v>3029</v>
      </c>
      <c r="D292" s="716" t="s">
        <v>4868</v>
      </c>
      <c r="E292" s="716" t="s">
        <v>4869</v>
      </c>
      <c r="F292" s="720">
        <v>1</v>
      </c>
      <c r="G292" s="720">
        <v>1575</v>
      </c>
      <c r="H292" s="720"/>
      <c r="I292" s="720">
        <v>1575</v>
      </c>
      <c r="J292" s="720"/>
      <c r="K292" s="720"/>
      <c r="L292" s="720"/>
      <c r="M292" s="720"/>
      <c r="N292" s="720"/>
      <c r="O292" s="720"/>
      <c r="P292" s="745"/>
      <c r="Q292" s="721"/>
    </row>
    <row r="293" spans="1:17" ht="14.45" customHeight="1" x14ac:dyDescent="0.2">
      <c r="A293" s="715" t="s">
        <v>4677</v>
      </c>
      <c r="B293" s="716" t="s">
        <v>4318</v>
      </c>
      <c r="C293" s="716" t="s">
        <v>3029</v>
      </c>
      <c r="D293" s="716" t="s">
        <v>4870</v>
      </c>
      <c r="E293" s="716" t="s">
        <v>4871</v>
      </c>
      <c r="F293" s="720">
        <v>8</v>
      </c>
      <c r="G293" s="720">
        <v>122096</v>
      </c>
      <c r="H293" s="720">
        <v>1.5996855551916147</v>
      </c>
      <c r="I293" s="720">
        <v>15262</v>
      </c>
      <c r="J293" s="720">
        <v>5</v>
      </c>
      <c r="K293" s="720">
        <v>76325</v>
      </c>
      <c r="L293" s="720">
        <v>1</v>
      </c>
      <c r="M293" s="720">
        <v>15265</v>
      </c>
      <c r="N293" s="720">
        <v>9</v>
      </c>
      <c r="O293" s="720">
        <v>137520</v>
      </c>
      <c r="P293" s="745">
        <v>1.8017687520471668</v>
      </c>
      <c r="Q293" s="721">
        <v>15280</v>
      </c>
    </row>
    <row r="294" spans="1:17" ht="14.45" customHeight="1" x14ac:dyDescent="0.2">
      <c r="A294" s="715" t="s">
        <v>4677</v>
      </c>
      <c r="B294" s="716" t="s">
        <v>4318</v>
      </c>
      <c r="C294" s="716" t="s">
        <v>3029</v>
      </c>
      <c r="D294" s="716" t="s">
        <v>4872</v>
      </c>
      <c r="E294" s="716" t="s">
        <v>4873</v>
      </c>
      <c r="F294" s="720">
        <v>71</v>
      </c>
      <c r="G294" s="720">
        <v>274060</v>
      </c>
      <c r="H294" s="720">
        <v>1.108800491973071</v>
      </c>
      <c r="I294" s="720">
        <v>3860</v>
      </c>
      <c r="J294" s="720">
        <v>64</v>
      </c>
      <c r="K294" s="720">
        <v>247168</v>
      </c>
      <c r="L294" s="720">
        <v>1</v>
      </c>
      <c r="M294" s="720">
        <v>3862</v>
      </c>
      <c r="N294" s="720">
        <v>82</v>
      </c>
      <c r="O294" s="720">
        <v>317094</v>
      </c>
      <c r="P294" s="745">
        <v>1.2829087907819783</v>
      </c>
      <c r="Q294" s="721">
        <v>3867</v>
      </c>
    </row>
    <row r="295" spans="1:17" ht="14.45" customHeight="1" x14ac:dyDescent="0.2">
      <c r="A295" s="715" t="s">
        <v>4677</v>
      </c>
      <c r="B295" s="716" t="s">
        <v>4318</v>
      </c>
      <c r="C295" s="716" t="s">
        <v>3029</v>
      </c>
      <c r="D295" s="716" t="s">
        <v>4874</v>
      </c>
      <c r="E295" s="716" t="s">
        <v>4875</v>
      </c>
      <c r="F295" s="720">
        <v>4</v>
      </c>
      <c r="G295" s="720">
        <v>20840</v>
      </c>
      <c r="H295" s="720"/>
      <c r="I295" s="720">
        <v>5210</v>
      </c>
      <c r="J295" s="720"/>
      <c r="K295" s="720"/>
      <c r="L295" s="720"/>
      <c r="M295" s="720"/>
      <c r="N295" s="720">
        <v>1</v>
      </c>
      <c r="O295" s="720">
        <v>5219</v>
      </c>
      <c r="P295" s="745"/>
      <c r="Q295" s="721">
        <v>5219</v>
      </c>
    </row>
    <row r="296" spans="1:17" ht="14.45" customHeight="1" x14ac:dyDescent="0.2">
      <c r="A296" s="715" t="s">
        <v>4677</v>
      </c>
      <c r="B296" s="716" t="s">
        <v>4318</v>
      </c>
      <c r="C296" s="716" t="s">
        <v>3029</v>
      </c>
      <c r="D296" s="716" t="s">
        <v>4876</v>
      </c>
      <c r="E296" s="716" t="s">
        <v>4877</v>
      </c>
      <c r="F296" s="720">
        <v>48</v>
      </c>
      <c r="G296" s="720">
        <v>380448</v>
      </c>
      <c r="H296" s="720">
        <v>1.2628392373466462</v>
      </c>
      <c r="I296" s="720">
        <v>7926</v>
      </c>
      <c r="J296" s="720">
        <v>38</v>
      </c>
      <c r="K296" s="720">
        <v>301264</v>
      </c>
      <c r="L296" s="720">
        <v>1</v>
      </c>
      <c r="M296" s="720">
        <v>7928</v>
      </c>
      <c r="N296" s="720">
        <v>40</v>
      </c>
      <c r="O296" s="720">
        <v>317520</v>
      </c>
      <c r="P296" s="745">
        <v>1.053959318073185</v>
      </c>
      <c r="Q296" s="721">
        <v>7938</v>
      </c>
    </row>
    <row r="297" spans="1:17" ht="14.45" customHeight="1" x14ac:dyDescent="0.2">
      <c r="A297" s="715" t="s">
        <v>4677</v>
      </c>
      <c r="B297" s="716" t="s">
        <v>4318</v>
      </c>
      <c r="C297" s="716" t="s">
        <v>3029</v>
      </c>
      <c r="D297" s="716" t="s">
        <v>4878</v>
      </c>
      <c r="E297" s="716" t="s">
        <v>4879</v>
      </c>
      <c r="F297" s="720">
        <v>1</v>
      </c>
      <c r="G297" s="720">
        <v>1702</v>
      </c>
      <c r="H297" s="720">
        <v>0.33294209702660404</v>
      </c>
      <c r="I297" s="720">
        <v>1702</v>
      </c>
      <c r="J297" s="720">
        <v>3</v>
      </c>
      <c r="K297" s="720">
        <v>5112</v>
      </c>
      <c r="L297" s="720">
        <v>1</v>
      </c>
      <c r="M297" s="720">
        <v>1704</v>
      </c>
      <c r="N297" s="720">
        <v>4</v>
      </c>
      <c r="O297" s="720">
        <v>6836</v>
      </c>
      <c r="P297" s="745">
        <v>1.3372456964006261</v>
      </c>
      <c r="Q297" s="721">
        <v>1709</v>
      </c>
    </row>
    <row r="298" spans="1:17" ht="14.45" customHeight="1" x14ac:dyDescent="0.2">
      <c r="A298" s="715" t="s">
        <v>4677</v>
      </c>
      <c r="B298" s="716" t="s">
        <v>4318</v>
      </c>
      <c r="C298" s="716" t="s">
        <v>3029</v>
      </c>
      <c r="D298" s="716" t="s">
        <v>4880</v>
      </c>
      <c r="E298" s="716" t="s">
        <v>4881</v>
      </c>
      <c r="F298" s="720">
        <v>66</v>
      </c>
      <c r="G298" s="720">
        <v>85404</v>
      </c>
      <c r="H298" s="720">
        <v>0.88</v>
      </c>
      <c r="I298" s="720">
        <v>1294</v>
      </c>
      <c r="J298" s="720">
        <v>75</v>
      </c>
      <c r="K298" s="720">
        <v>97050</v>
      </c>
      <c r="L298" s="720">
        <v>1</v>
      </c>
      <c r="M298" s="720">
        <v>1294</v>
      </c>
      <c r="N298" s="720">
        <v>86</v>
      </c>
      <c r="O298" s="720">
        <v>111542</v>
      </c>
      <c r="P298" s="745">
        <v>1.1493250901597114</v>
      </c>
      <c r="Q298" s="721">
        <v>1297</v>
      </c>
    </row>
    <row r="299" spans="1:17" ht="14.45" customHeight="1" x14ac:dyDescent="0.2">
      <c r="A299" s="715" t="s">
        <v>4677</v>
      </c>
      <c r="B299" s="716" t="s">
        <v>4318</v>
      </c>
      <c r="C299" s="716" t="s">
        <v>3029</v>
      </c>
      <c r="D299" s="716" t="s">
        <v>4882</v>
      </c>
      <c r="E299" s="716" t="s">
        <v>4883</v>
      </c>
      <c r="F299" s="720">
        <v>50</v>
      </c>
      <c r="G299" s="720">
        <v>58900</v>
      </c>
      <c r="H299" s="720">
        <v>0.75757575757575757</v>
      </c>
      <c r="I299" s="720">
        <v>1178</v>
      </c>
      <c r="J299" s="720">
        <v>66</v>
      </c>
      <c r="K299" s="720">
        <v>77748</v>
      </c>
      <c r="L299" s="720">
        <v>1</v>
      </c>
      <c r="M299" s="720">
        <v>1178</v>
      </c>
      <c r="N299" s="720">
        <v>73</v>
      </c>
      <c r="O299" s="720">
        <v>86140</v>
      </c>
      <c r="P299" s="745">
        <v>1.1079384678705562</v>
      </c>
      <c r="Q299" s="721">
        <v>1180</v>
      </c>
    </row>
    <row r="300" spans="1:17" ht="14.45" customHeight="1" x14ac:dyDescent="0.2">
      <c r="A300" s="715" t="s">
        <v>4677</v>
      </c>
      <c r="B300" s="716" t="s">
        <v>4318</v>
      </c>
      <c r="C300" s="716" t="s">
        <v>3029</v>
      </c>
      <c r="D300" s="716" t="s">
        <v>4884</v>
      </c>
      <c r="E300" s="716" t="s">
        <v>4885</v>
      </c>
      <c r="F300" s="720">
        <v>11</v>
      </c>
      <c r="G300" s="720">
        <v>56727</v>
      </c>
      <c r="H300" s="720">
        <v>1.8330371279930204</v>
      </c>
      <c r="I300" s="720">
        <v>5157</v>
      </c>
      <c r="J300" s="720">
        <v>6</v>
      </c>
      <c r="K300" s="720">
        <v>30947</v>
      </c>
      <c r="L300" s="720">
        <v>1</v>
      </c>
      <c r="M300" s="720">
        <v>5157.833333333333</v>
      </c>
      <c r="N300" s="720">
        <v>17</v>
      </c>
      <c r="O300" s="720">
        <v>87754</v>
      </c>
      <c r="P300" s="745">
        <v>2.8356221927812064</v>
      </c>
      <c r="Q300" s="721">
        <v>5162</v>
      </c>
    </row>
    <row r="301" spans="1:17" ht="14.45" customHeight="1" x14ac:dyDescent="0.2">
      <c r="A301" s="715" t="s">
        <v>4677</v>
      </c>
      <c r="B301" s="716" t="s">
        <v>4318</v>
      </c>
      <c r="C301" s="716" t="s">
        <v>3029</v>
      </c>
      <c r="D301" s="716" t="s">
        <v>4886</v>
      </c>
      <c r="E301" s="716" t="s">
        <v>4887</v>
      </c>
      <c r="F301" s="720">
        <v>12</v>
      </c>
      <c r="G301" s="720">
        <v>9612</v>
      </c>
      <c r="H301" s="720">
        <v>2.9981285090455394</v>
      </c>
      <c r="I301" s="720">
        <v>801</v>
      </c>
      <c r="J301" s="720">
        <v>4</v>
      </c>
      <c r="K301" s="720">
        <v>3206</v>
      </c>
      <c r="L301" s="720">
        <v>1</v>
      </c>
      <c r="M301" s="720">
        <v>801.5</v>
      </c>
      <c r="N301" s="720">
        <v>11</v>
      </c>
      <c r="O301" s="720">
        <v>8888</v>
      </c>
      <c r="P301" s="745">
        <v>2.7723019338739863</v>
      </c>
      <c r="Q301" s="721">
        <v>808</v>
      </c>
    </row>
    <row r="302" spans="1:17" ht="14.45" customHeight="1" x14ac:dyDescent="0.2">
      <c r="A302" s="715" t="s">
        <v>4677</v>
      </c>
      <c r="B302" s="716" t="s">
        <v>4318</v>
      </c>
      <c r="C302" s="716" t="s">
        <v>3029</v>
      </c>
      <c r="D302" s="716" t="s">
        <v>4888</v>
      </c>
      <c r="E302" s="716" t="s">
        <v>4889</v>
      </c>
      <c r="F302" s="720">
        <v>940</v>
      </c>
      <c r="G302" s="720">
        <v>166380</v>
      </c>
      <c r="H302" s="720">
        <v>1.0328387857719288</v>
      </c>
      <c r="I302" s="720">
        <v>177</v>
      </c>
      <c r="J302" s="720">
        <v>905</v>
      </c>
      <c r="K302" s="720">
        <v>161090</v>
      </c>
      <c r="L302" s="720">
        <v>1</v>
      </c>
      <c r="M302" s="720">
        <v>178</v>
      </c>
      <c r="N302" s="720">
        <v>937</v>
      </c>
      <c r="O302" s="720">
        <v>167723</v>
      </c>
      <c r="P302" s="745">
        <v>1.0411757402694146</v>
      </c>
      <c r="Q302" s="721">
        <v>179</v>
      </c>
    </row>
    <row r="303" spans="1:17" ht="14.45" customHeight="1" x14ac:dyDescent="0.2">
      <c r="A303" s="715" t="s">
        <v>4677</v>
      </c>
      <c r="B303" s="716" t="s">
        <v>4318</v>
      </c>
      <c r="C303" s="716" t="s">
        <v>3029</v>
      </c>
      <c r="D303" s="716" t="s">
        <v>4890</v>
      </c>
      <c r="E303" s="716" t="s">
        <v>4891</v>
      </c>
      <c r="F303" s="720">
        <v>72</v>
      </c>
      <c r="G303" s="720">
        <v>147528</v>
      </c>
      <c r="H303" s="720">
        <v>1.4110760401721665</v>
      </c>
      <c r="I303" s="720">
        <v>2049</v>
      </c>
      <c r="J303" s="720">
        <v>51</v>
      </c>
      <c r="K303" s="720">
        <v>104550</v>
      </c>
      <c r="L303" s="720">
        <v>1</v>
      </c>
      <c r="M303" s="720">
        <v>2050</v>
      </c>
      <c r="N303" s="720">
        <v>69</v>
      </c>
      <c r="O303" s="720">
        <v>141657</v>
      </c>
      <c r="P303" s="745">
        <v>1.3549210903873745</v>
      </c>
      <c r="Q303" s="721">
        <v>2053</v>
      </c>
    </row>
    <row r="304" spans="1:17" ht="14.45" customHeight="1" x14ac:dyDescent="0.2">
      <c r="A304" s="715" t="s">
        <v>4677</v>
      </c>
      <c r="B304" s="716" t="s">
        <v>4318</v>
      </c>
      <c r="C304" s="716" t="s">
        <v>3029</v>
      </c>
      <c r="D304" s="716" t="s">
        <v>4892</v>
      </c>
      <c r="E304" s="716" t="s">
        <v>4893</v>
      </c>
      <c r="F304" s="720">
        <v>5</v>
      </c>
      <c r="G304" s="720">
        <v>13685</v>
      </c>
      <c r="H304" s="720">
        <v>5</v>
      </c>
      <c r="I304" s="720">
        <v>2737</v>
      </c>
      <c r="J304" s="720">
        <v>1</v>
      </c>
      <c r="K304" s="720">
        <v>2737</v>
      </c>
      <c r="L304" s="720">
        <v>1</v>
      </c>
      <c r="M304" s="720">
        <v>2737</v>
      </c>
      <c r="N304" s="720">
        <v>4</v>
      </c>
      <c r="O304" s="720">
        <v>10960</v>
      </c>
      <c r="P304" s="745">
        <v>4.0043843624406286</v>
      </c>
      <c r="Q304" s="721">
        <v>2740</v>
      </c>
    </row>
    <row r="305" spans="1:17" ht="14.45" customHeight="1" x14ac:dyDescent="0.2">
      <c r="A305" s="715" t="s">
        <v>4677</v>
      </c>
      <c r="B305" s="716" t="s">
        <v>4318</v>
      </c>
      <c r="C305" s="716" t="s">
        <v>3029</v>
      </c>
      <c r="D305" s="716" t="s">
        <v>4894</v>
      </c>
      <c r="E305" s="716" t="s">
        <v>4895</v>
      </c>
      <c r="F305" s="720">
        <v>3</v>
      </c>
      <c r="G305" s="720">
        <v>15807</v>
      </c>
      <c r="H305" s="720">
        <v>3</v>
      </c>
      <c r="I305" s="720">
        <v>5269</v>
      </c>
      <c r="J305" s="720">
        <v>1</v>
      </c>
      <c r="K305" s="720">
        <v>5269</v>
      </c>
      <c r="L305" s="720">
        <v>1</v>
      </c>
      <c r="M305" s="720">
        <v>5269</v>
      </c>
      <c r="N305" s="720"/>
      <c r="O305" s="720"/>
      <c r="P305" s="745"/>
      <c r="Q305" s="721"/>
    </row>
    <row r="306" spans="1:17" ht="14.45" customHeight="1" x14ac:dyDescent="0.2">
      <c r="A306" s="715" t="s">
        <v>4677</v>
      </c>
      <c r="B306" s="716" t="s">
        <v>4318</v>
      </c>
      <c r="C306" s="716" t="s">
        <v>3029</v>
      </c>
      <c r="D306" s="716" t="s">
        <v>4896</v>
      </c>
      <c r="E306" s="716" t="s">
        <v>4897</v>
      </c>
      <c r="F306" s="720">
        <v>2</v>
      </c>
      <c r="G306" s="720">
        <v>1350</v>
      </c>
      <c r="H306" s="720">
        <v>0.5</v>
      </c>
      <c r="I306" s="720">
        <v>675</v>
      </c>
      <c r="J306" s="720">
        <v>4</v>
      </c>
      <c r="K306" s="720">
        <v>2700</v>
      </c>
      <c r="L306" s="720">
        <v>1</v>
      </c>
      <c r="M306" s="720">
        <v>675</v>
      </c>
      <c r="N306" s="720">
        <v>2</v>
      </c>
      <c r="O306" s="720">
        <v>1356</v>
      </c>
      <c r="P306" s="745">
        <v>0.50222222222222224</v>
      </c>
      <c r="Q306" s="721">
        <v>678</v>
      </c>
    </row>
    <row r="307" spans="1:17" ht="14.45" customHeight="1" x14ac:dyDescent="0.2">
      <c r="A307" s="715" t="s">
        <v>4677</v>
      </c>
      <c r="B307" s="716" t="s">
        <v>4318</v>
      </c>
      <c r="C307" s="716" t="s">
        <v>3029</v>
      </c>
      <c r="D307" s="716" t="s">
        <v>4898</v>
      </c>
      <c r="E307" s="716" t="s">
        <v>4899</v>
      </c>
      <c r="F307" s="720">
        <v>12</v>
      </c>
      <c r="G307" s="720">
        <v>25356</v>
      </c>
      <c r="H307" s="720">
        <v>0.85673739694553319</v>
      </c>
      <c r="I307" s="720">
        <v>2113</v>
      </c>
      <c r="J307" s="720">
        <v>14</v>
      </c>
      <c r="K307" s="720">
        <v>29596</v>
      </c>
      <c r="L307" s="720">
        <v>1</v>
      </c>
      <c r="M307" s="720">
        <v>2114</v>
      </c>
      <c r="N307" s="720">
        <v>12</v>
      </c>
      <c r="O307" s="720">
        <v>25404</v>
      </c>
      <c r="P307" s="745">
        <v>0.85835923773482903</v>
      </c>
      <c r="Q307" s="721">
        <v>2117</v>
      </c>
    </row>
    <row r="308" spans="1:17" ht="14.45" customHeight="1" x14ac:dyDescent="0.2">
      <c r="A308" s="715" t="s">
        <v>4677</v>
      </c>
      <c r="B308" s="716" t="s">
        <v>4318</v>
      </c>
      <c r="C308" s="716" t="s">
        <v>3029</v>
      </c>
      <c r="D308" s="716" t="s">
        <v>4900</v>
      </c>
      <c r="E308" s="716" t="s">
        <v>4901</v>
      </c>
      <c r="F308" s="720">
        <v>5</v>
      </c>
      <c r="G308" s="720">
        <v>775</v>
      </c>
      <c r="H308" s="720">
        <v>0.5</v>
      </c>
      <c r="I308" s="720">
        <v>155</v>
      </c>
      <c r="J308" s="720">
        <v>10</v>
      </c>
      <c r="K308" s="720">
        <v>1550</v>
      </c>
      <c r="L308" s="720">
        <v>1</v>
      </c>
      <c r="M308" s="720">
        <v>155</v>
      </c>
      <c r="N308" s="720">
        <v>11</v>
      </c>
      <c r="O308" s="720">
        <v>1716</v>
      </c>
      <c r="P308" s="745">
        <v>1.1070967741935485</v>
      </c>
      <c r="Q308" s="721">
        <v>156</v>
      </c>
    </row>
    <row r="309" spans="1:17" ht="14.45" customHeight="1" x14ac:dyDescent="0.2">
      <c r="A309" s="715" t="s">
        <v>4677</v>
      </c>
      <c r="B309" s="716" t="s">
        <v>4318</v>
      </c>
      <c r="C309" s="716" t="s">
        <v>3029</v>
      </c>
      <c r="D309" s="716" t="s">
        <v>4902</v>
      </c>
      <c r="E309" s="716" t="s">
        <v>4903</v>
      </c>
      <c r="F309" s="720">
        <v>3</v>
      </c>
      <c r="G309" s="720">
        <v>597</v>
      </c>
      <c r="H309" s="720">
        <v>0.995</v>
      </c>
      <c r="I309" s="720">
        <v>199</v>
      </c>
      <c r="J309" s="720">
        <v>3</v>
      </c>
      <c r="K309" s="720">
        <v>600</v>
      </c>
      <c r="L309" s="720">
        <v>1</v>
      </c>
      <c r="M309" s="720">
        <v>200</v>
      </c>
      <c r="N309" s="720">
        <v>6</v>
      </c>
      <c r="O309" s="720">
        <v>1206</v>
      </c>
      <c r="P309" s="745">
        <v>2.0099999999999998</v>
      </c>
      <c r="Q309" s="721">
        <v>201</v>
      </c>
    </row>
    <row r="310" spans="1:17" ht="14.45" customHeight="1" x14ac:dyDescent="0.2">
      <c r="A310" s="715" t="s">
        <v>4677</v>
      </c>
      <c r="B310" s="716" t="s">
        <v>4318</v>
      </c>
      <c r="C310" s="716" t="s">
        <v>3029</v>
      </c>
      <c r="D310" s="716" t="s">
        <v>4904</v>
      </c>
      <c r="E310" s="716" t="s">
        <v>4905</v>
      </c>
      <c r="F310" s="720">
        <v>345</v>
      </c>
      <c r="G310" s="720">
        <v>70380</v>
      </c>
      <c r="H310" s="720">
        <v>1.1461794019933556</v>
      </c>
      <c r="I310" s="720">
        <v>204</v>
      </c>
      <c r="J310" s="720">
        <v>299</v>
      </c>
      <c r="K310" s="720">
        <v>61404</v>
      </c>
      <c r="L310" s="720">
        <v>1</v>
      </c>
      <c r="M310" s="720">
        <v>205.36454849498327</v>
      </c>
      <c r="N310" s="720">
        <v>479</v>
      </c>
      <c r="O310" s="720">
        <v>99153</v>
      </c>
      <c r="P310" s="745">
        <v>1.614764510455345</v>
      </c>
      <c r="Q310" s="721">
        <v>207</v>
      </c>
    </row>
    <row r="311" spans="1:17" ht="14.45" customHeight="1" x14ac:dyDescent="0.2">
      <c r="A311" s="715" t="s">
        <v>4677</v>
      </c>
      <c r="B311" s="716" t="s">
        <v>4318</v>
      </c>
      <c r="C311" s="716" t="s">
        <v>3029</v>
      </c>
      <c r="D311" s="716" t="s">
        <v>4906</v>
      </c>
      <c r="E311" s="716" t="s">
        <v>4907</v>
      </c>
      <c r="F311" s="720">
        <v>8</v>
      </c>
      <c r="G311" s="720">
        <v>3408</v>
      </c>
      <c r="H311" s="720">
        <v>0.99765807962529274</v>
      </c>
      <c r="I311" s="720">
        <v>426</v>
      </c>
      <c r="J311" s="720">
        <v>8</v>
      </c>
      <c r="K311" s="720">
        <v>3416</v>
      </c>
      <c r="L311" s="720">
        <v>1</v>
      </c>
      <c r="M311" s="720">
        <v>427</v>
      </c>
      <c r="N311" s="720">
        <v>7</v>
      </c>
      <c r="O311" s="720">
        <v>2996</v>
      </c>
      <c r="P311" s="745">
        <v>0.87704918032786883</v>
      </c>
      <c r="Q311" s="721">
        <v>428</v>
      </c>
    </row>
    <row r="312" spans="1:17" ht="14.45" customHeight="1" x14ac:dyDescent="0.2">
      <c r="A312" s="715" t="s">
        <v>4677</v>
      </c>
      <c r="B312" s="716" t="s">
        <v>4318</v>
      </c>
      <c r="C312" s="716" t="s">
        <v>3029</v>
      </c>
      <c r="D312" s="716" t="s">
        <v>4908</v>
      </c>
      <c r="E312" s="716" t="s">
        <v>4909</v>
      </c>
      <c r="F312" s="720">
        <v>2</v>
      </c>
      <c r="G312" s="720">
        <v>326</v>
      </c>
      <c r="H312" s="720">
        <v>2</v>
      </c>
      <c r="I312" s="720">
        <v>163</v>
      </c>
      <c r="J312" s="720">
        <v>1</v>
      </c>
      <c r="K312" s="720">
        <v>163</v>
      </c>
      <c r="L312" s="720">
        <v>1</v>
      </c>
      <c r="M312" s="720">
        <v>163</v>
      </c>
      <c r="N312" s="720"/>
      <c r="O312" s="720"/>
      <c r="P312" s="745"/>
      <c r="Q312" s="721"/>
    </row>
    <row r="313" spans="1:17" ht="14.45" customHeight="1" x14ac:dyDescent="0.2">
      <c r="A313" s="715" t="s">
        <v>4677</v>
      </c>
      <c r="B313" s="716" t="s">
        <v>4318</v>
      </c>
      <c r="C313" s="716" t="s">
        <v>3029</v>
      </c>
      <c r="D313" s="716" t="s">
        <v>4910</v>
      </c>
      <c r="E313" s="716" t="s">
        <v>4911</v>
      </c>
      <c r="F313" s="720">
        <v>4</v>
      </c>
      <c r="G313" s="720">
        <v>1744</v>
      </c>
      <c r="H313" s="720">
        <v>1.9954233409610984</v>
      </c>
      <c r="I313" s="720">
        <v>436</v>
      </c>
      <c r="J313" s="720">
        <v>2</v>
      </c>
      <c r="K313" s="720">
        <v>874</v>
      </c>
      <c r="L313" s="720">
        <v>1</v>
      </c>
      <c r="M313" s="720">
        <v>437</v>
      </c>
      <c r="N313" s="720">
        <v>3</v>
      </c>
      <c r="O313" s="720">
        <v>1314</v>
      </c>
      <c r="P313" s="745">
        <v>1.5034324942791761</v>
      </c>
      <c r="Q313" s="721">
        <v>438</v>
      </c>
    </row>
    <row r="314" spans="1:17" ht="14.45" customHeight="1" x14ac:dyDescent="0.2">
      <c r="A314" s="715" t="s">
        <v>4677</v>
      </c>
      <c r="B314" s="716" t="s">
        <v>4318</v>
      </c>
      <c r="C314" s="716" t="s">
        <v>3029</v>
      </c>
      <c r="D314" s="716" t="s">
        <v>4912</v>
      </c>
      <c r="E314" s="716" t="s">
        <v>4913</v>
      </c>
      <c r="F314" s="720">
        <v>148</v>
      </c>
      <c r="G314" s="720">
        <v>318940</v>
      </c>
      <c r="H314" s="720">
        <v>1.2026939378855754</v>
      </c>
      <c r="I314" s="720">
        <v>2155</v>
      </c>
      <c r="J314" s="720">
        <v>123</v>
      </c>
      <c r="K314" s="720">
        <v>265188</v>
      </c>
      <c r="L314" s="720">
        <v>1</v>
      </c>
      <c r="M314" s="720">
        <v>2156</v>
      </c>
      <c r="N314" s="720">
        <v>133</v>
      </c>
      <c r="O314" s="720">
        <v>287147</v>
      </c>
      <c r="P314" s="745">
        <v>1.0828054059761376</v>
      </c>
      <c r="Q314" s="721">
        <v>2159</v>
      </c>
    </row>
    <row r="315" spans="1:17" ht="14.45" customHeight="1" x14ac:dyDescent="0.2">
      <c r="A315" s="715" t="s">
        <v>4677</v>
      </c>
      <c r="B315" s="716" t="s">
        <v>4318</v>
      </c>
      <c r="C315" s="716" t="s">
        <v>3029</v>
      </c>
      <c r="D315" s="716" t="s">
        <v>4914</v>
      </c>
      <c r="E315" s="716" t="s">
        <v>4873</v>
      </c>
      <c r="F315" s="720">
        <v>94</v>
      </c>
      <c r="G315" s="720">
        <v>177566</v>
      </c>
      <c r="H315" s="720">
        <v>1.3623188405797102</v>
      </c>
      <c r="I315" s="720">
        <v>1889</v>
      </c>
      <c r="J315" s="720">
        <v>69</v>
      </c>
      <c r="K315" s="720">
        <v>130341</v>
      </c>
      <c r="L315" s="720">
        <v>1</v>
      </c>
      <c r="M315" s="720">
        <v>1889</v>
      </c>
      <c r="N315" s="720">
        <v>93</v>
      </c>
      <c r="O315" s="720">
        <v>175956</v>
      </c>
      <c r="P315" s="745">
        <v>1.349966626004097</v>
      </c>
      <c r="Q315" s="721">
        <v>1892</v>
      </c>
    </row>
    <row r="316" spans="1:17" ht="14.45" customHeight="1" x14ac:dyDescent="0.2">
      <c r="A316" s="715" t="s">
        <v>4677</v>
      </c>
      <c r="B316" s="716" t="s">
        <v>4318</v>
      </c>
      <c r="C316" s="716" t="s">
        <v>3029</v>
      </c>
      <c r="D316" s="716" t="s">
        <v>4915</v>
      </c>
      <c r="E316" s="716" t="s">
        <v>4916</v>
      </c>
      <c r="F316" s="720">
        <v>1</v>
      </c>
      <c r="G316" s="720">
        <v>163</v>
      </c>
      <c r="H316" s="720"/>
      <c r="I316" s="720">
        <v>163</v>
      </c>
      <c r="J316" s="720"/>
      <c r="K316" s="720"/>
      <c r="L316" s="720"/>
      <c r="M316" s="720"/>
      <c r="N316" s="720">
        <v>2</v>
      </c>
      <c r="O316" s="720">
        <v>328</v>
      </c>
      <c r="P316" s="745"/>
      <c r="Q316" s="721">
        <v>164</v>
      </c>
    </row>
    <row r="317" spans="1:17" ht="14.45" customHeight="1" x14ac:dyDescent="0.2">
      <c r="A317" s="715" t="s">
        <v>4677</v>
      </c>
      <c r="B317" s="716" t="s">
        <v>4318</v>
      </c>
      <c r="C317" s="716" t="s">
        <v>3029</v>
      </c>
      <c r="D317" s="716" t="s">
        <v>4917</v>
      </c>
      <c r="E317" s="716" t="s">
        <v>4918</v>
      </c>
      <c r="F317" s="720">
        <v>1</v>
      </c>
      <c r="G317" s="720">
        <v>934</v>
      </c>
      <c r="H317" s="720">
        <v>0.99893048128342243</v>
      </c>
      <c r="I317" s="720">
        <v>934</v>
      </c>
      <c r="J317" s="720">
        <v>1</v>
      </c>
      <c r="K317" s="720">
        <v>935</v>
      </c>
      <c r="L317" s="720">
        <v>1</v>
      </c>
      <c r="M317" s="720">
        <v>935</v>
      </c>
      <c r="N317" s="720">
        <v>1</v>
      </c>
      <c r="O317" s="720">
        <v>938</v>
      </c>
      <c r="P317" s="745">
        <v>1.0032085561497326</v>
      </c>
      <c r="Q317" s="721">
        <v>938</v>
      </c>
    </row>
    <row r="318" spans="1:17" ht="14.45" customHeight="1" x14ac:dyDescent="0.2">
      <c r="A318" s="715" t="s">
        <v>4677</v>
      </c>
      <c r="B318" s="716" t="s">
        <v>4318</v>
      </c>
      <c r="C318" s="716" t="s">
        <v>3029</v>
      </c>
      <c r="D318" s="716" t="s">
        <v>4919</v>
      </c>
      <c r="E318" s="716" t="s">
        <v>4920</v>
      </c>
      <c r="F318" s="720">
        <v>55</v>
      </c>
      <c r="G318" s="720">
        <v>465300</v>
      </c>
      <c r="H318" s="720">
        <v>1.2219333490900497</v>
      </c>
      <c r="I318" s="720">
        <v>8460</v>
      </c>
      <c r="J318" s="720">
        <v>45</v>
      </c>
      <c r="K318" s="720">
        <v>380790</v>
      </c>
      <c r="L318" s="720">
        <v>1</v>
      </c>
      <c r="M318" s="720">
        <v>8462</v>
      </c>
      <c r="N318" s="720">
        <v>61</v>
      </c>
      <c r="O318" s="720">
        <v>516670</v>
      </c>
      <c r="P318" s="745">
        <v>1.3568371018146486</v>
      </c>
      <c r="Q318" s="721">
        <v>8470</v>
      </c>
    </row>
    <row r="319" spans="1:17" ht="14.45" customHeight="1" x14ac:dyDescent="0.2">
      <c r="A319" s="715" t="s">
        <v>4677</v>
      </c>
      <c r="B319" s="716" t="s">
        <v>4318</v>
      </c>
      <c r="C319" s="716" t="s">
        <v>3029</v>
      </c>
      <c r="D319" s="716" t="s">
        <v>4921</v>
      </c>
      <c r="E319" s="716" t="s">
        <v>4922</v>
      </c>
      <c r="F319" s="720">
        <v>1</v>
      </c>
      <c r="G319" s="720">
        <v>160</v>
      </c>
      <c r="H319" s="720"/>
      <c r="I319" s="720">
        <v>160</v>
      </c>
      <c r="J319" s="720"/>
      <c r="K319" s="720"/>
      <c r="L319" s="720"/>
      <c r="M319" s="720"/>
      <c r="N319" s="720"/>
      <c r="O319" s="720"/>
      <c r="P319" s="745"/>
      <c r="Q319" s="721"/>
    </row>
    <row r="320" spans="1:17" ht="14.45" customHeight="1" x14ac:dyDescent="0.2">
      <c r="A320" s="715" t="s">
        <v>4677</v>
      </c>
      <c r="B320" s="716" t="s">
        <v>4318</v>
      </c>
      <c r="C320" s="716" t="s">
        <v>3029</v>
      </c>
      <c r="D320" s="716" t="s">
        <v>4923</v>
      </c>
      <c r="E320" s="716" t="s">
        <v>4924</v>
      </c>
      <c r="F320" s="720">
        <v>3</v>
      </c>
      <c r="G320" s="720">
        <v>6159</v>
      </c>
      <c r="H320" s="720">
        <v>0.37463503649635038</v>
      </c>
      <c r="I320" s="720">
        <v>2053</v>
      </c>
      <c r="J320" s="720">
        <v>8</v>
      </c>
      <c r="K320" s="720">
        <v>16440</v>
      </c>
      <c r="L320" s="720">
        <v>1</v>
      </c>
      <c r="M320" s="720">
        <v>2055</v>
      </c>
      <c r="N320" s="720">
        <v>7</v>
      </c>
      <c r="O320" s="720">
        <v>14434</v>
      </c>
      <c r="P320" s="745">
        <v>0.87798053527980535</v>
      </c>
      <c r="Q320" s="721">
        <v>2062</v>
      </c>
    </row>
    <row r="321" spans="1:17" ht="14.45" customHeight="1" x14ac:dyDescent="0.2">
      <c r="A321" s="715" t="s">
        <v>4677</v>
      </c>
      <c r="B321" s="716" t="s">
        <v>4318</v>
      </c>
      <c r="C321" s="716" t="s">
        <v>3029</v>
      </c>
      <c r="D321" s="716" t="s">
        <v>4925</v>
      </c>
      <c r="E321" s="716" t="s">
        <v>4926</v>
      </c>
      <c r="F321" s="720"/>
      <c r="G321" s="720"/>
      <c r="H321" s="720"/>
      <c r="I321" s="720"/>
      <c r="J321" s="720">
        <v>2</v>
      </c>
      <c r="K321" s="720">
        <v>11510</v>
      </c>
      <c r="L321" s="720">
        <v>1</v>
      </c>
      <c r="M321" s="720">
        <v>5755</v>
      </c>
      <c r="N321" s="720"/>
      <c r="O321" s="720"/>
      <c r="P321" s="745"/>
      <c r="Q321" s="721"/>
    </row>
    <row r="322" spans="1:17" ht="14.45" customHeight="1" x14ac:dyDescent="0.2">
      <c r="A322" s="715" t="s">
        <v>4677</v>
      </c>
      <c r="B322" s="716" t="s">
        <v>4318</v>
      </c>
      <c r="C322" s="716" t="s">
        <v>3029</v>
      </c>
      <c r="D322" s="716" t="s">
        <v>4927</v>
      </c>
      <c r="E322" s="716" t="s">
        <v>4928</v>
      </c>
      <c r="F322" s="720"/>
      <c r="G322" s="720"/>
      <c r="H322" s="720"/>
      <c r="I322" s="720"/>
      <c r="J322" s="720">
        <v>1</v>
      </c>
      <c r="K322" s="720">
        <v>580</v>
      </c>
      <c r="L322" s="720">
        <v>1</v>
      </c>
      <c r="M322" s="720">
        <v>580</v>
      </c>
      <c r="N322" s="720"/>
      <c r="O322" s="720"/>
      <c r="P322" s="745"/>
      <c r="Q322" s="721"/>
    </row>
    <row r="323" spans="1:17" ht="14.45" customHeight="1" x14ac:dyDescent="0.2">
      <c r="A323" s="715" t="s">
        <v>4677</v>
      </c>
      <c r="B323" s="716" t="s">
        <v>4318</v>
      </c>
      <c r="C323" s="716" t="s">
        <v>3029</v>
      </c>
      <c r="D323" s="716" t="s">
        <v>4929</v>
      </c>
      <c r="E323" s="716" t="s">
        <v>4930</v>
      </c>
      <c r="F323" s="720">
        <v>1</v>
      </c>
      <c r="G323" s="720">
        <v>352</v>
      </c>
      <c r="H323" s="720"/>
      <c r="I323" s="720">
        <v>352</v>
      </c>
      <c r="J323" s="720"/>
      <c r="K323" s="720"/>
      <c r="L323" s="720"/>
      <c r="M323" s="720"/>
      <c r="N323" s="720"/>
      <c r="O323" s="720"/>
      <c r="P323" s="745"/>
      <c r="Q323" s="721"/>
    </row>
    <row r="324" spans="1:17" ht="14.45" customHeight="1" x14ac:dyDescent="0.2">
      <c r="A324" s="715" t="s">
        <v>4677</v>
      </c>
      <c r="B324" s="716" t="s">
        <v>4318</v>
      </c>
      <c r="C324" s="716" t="s">
        <v>3029</v>
      </c>
      <c r="D324" s="716" t="s">
        <v>4931</v>
      </c>
      <c r="E324" s="716" t="s">
        <v>4932</v>
      </c>
      <c r="F324" s="720"/>
      <c r="G324" s="720"/>
      <c r="H324" s="720"/>
      <c r="I324" s="720"/>
      <c r="J324" s="720"/>
      <c r="K324" s="720"/>
      <c r="L324" s="720"/>
      <c r="M324" s="720"/>
      <c r="N324" s="720">
        <v>1</v>
      </c>
      <c r="O324" s="720">
        <v>2115</v>
      </c>
      <c r="P324" s="745"/>
      <c r="Q324" s="721">
        <v>2115</v>
      </c>
    </row>
    <row r="325" spans="1:17" ht="14.45" customHeight="1" x14ac:dyDescent="0.2">
      <c r="A325" s="715" t="s">
        <v>4933</v>
      </c>
      <c r="B325" s="716" t="s">
        <v>4934</v>
      </c>
      <c r="C325" s="716" t="s">
        <v>3029</v>
      </c>
      <c r="D325" s="716" t="s">
        <v>4935</v>
      </c>
      <c r="E325" s="716" t="s">
        <v>4936</v>
      </c>
      <c r="F325" s="720">
        <v>1235</v>
      </c>
      <c r="G325" s="720">
        <v>260585</v>
      </c>
      <c r="H325" s="720">
        <v>0.94843713603540647</v>
      </c>
      <c r="I325" s="720">
        <v>211</v>
      </c>
      <c r="J325" s="720">
        <v>1296</v>
      </c>
      <c r="K325" s="720">
        <v>274752</v>
      </c>
      <c r="L325" s="720">
        <v>1</v>
      </c>
      <c r="M325" s="720">
        <v>212</v>
      </c>
      <c r="N325" s="720">
        <v>1461</v>
      </c>
      <c r="O325" s="720">
        <v>311193</v>
      </c>
      <c r="P325" s="745">
        <v>1.1326323375262055</v>
      </c>
      <c r="Q325" s="721">
        <v>213</v>
      </c>
    </row>
    <row r="326" spans="1:17" ht="14.45" customHeight="1" x14ac:dyDescent="0.2">
      <c r="A326" s="715" t="s">
        <v>4933</v>
      </c>
      <c r="B326" s="716" t="s">
        <v>4934</v>
      </c>
      <c r="C326" s="716" t="s">
        <v>3029</v>
      </c>
      <c r="D326" s="716" t="s">
        <v>4937</v>
      </c>
      <c r="E326" s="716" t="s">
        <v>4936</v>
      </c>
      <c r="F326" s="720">
        <v>4</v>
      </c>
      <c r="G326" s="720">
        <v>348</v>
      </c>
      <c r="H326" s="720">
        <v>0.44444444444444442</v>
      </c>
      <c r="I326" s="720">
        <v>87</v>
      </c>
      <c r="J326" s="720">
        <v>9</v>
      </c>
      <c r="K326" s="720">
        <v>783</v>
      </c>
      <c r="L326" s="720">
        <v>1</v>
      </c>
      <c r="M326" s="720">
        <v>87</v>
      </c>
      <c r="N326" s="720">
        <v>5</v>
      </c>
      <c r="O326" s="720">
        <v>440</v>
      </c>
      <c r="P326" s="745">
        <v>0.56194125159642405</v>
      </c>
      <c r="Q326" s="721">
        <v>88</v>
      </c>
    </row>
    <row r="327" spans="1:17" ht="14.45" customHeight="1" x14ac:dyDescent="0.2">
      <c r="A327" s="715" t="s">
        <v>4933</v>
      </c>
      <c r="B327" s="716" t="s">
        <v>4934</v>
      </c>
      <c r="C327" s="716" t="s">
        <v>3029</v>
      </c>
      <c r="D327" s="716" t="s">
        <v>4938</v>
      </c>
      <c r="E327" s="716" t="s">
        <v>4939</v>
      </c>
      <c r="F327" s="720">
        <v>957</v>
      </c>
      <c r="G327" s="720">
        <v>288057</v>
      </c>
      <c r="H327" s="720">
        <v>0.88154447858393215</v>
      </c>
      <c r="I327" s="720">
        <v>301</v>
      </c>
      <c r="J327" s="720">
        <v>1082</v>
      </c>
      <c r="K327" s="720">
        <v>326764</v>
      </c>
      <c r="L327" s="720">
        <v>1</v>
      </c>
      <c r="M327" s="720">
        <v>302</v>
      </c>
      <c r="N327" s="720">
        <v>888</v>
      </c>
      <c r="O327" s="720">
        <v>269064</v>
      </c>
      <c r="P327" s="745">
        <v>0.82341996058317313</v>
      </c>
      <c r="Q327" s="721">
        <v>303</v>
      </c>
    </row>
    <row r="328" spans="1:17" ht="14.45" customHeight="1" x14ac:dyDescent="0.2">
      <c r="A328" s="715" t="s">
        <v>4933</v>
      </c>
      <c r="B328" s="716" t="s">
        <v>4934</v>
      </c>
      <c r="C328" s="716" t="s">
        <v>3029</v>
      </c>
      <c r="D328" s="716" t="s">
        <v>4940</v>
      </c>
      <c r="E328" s="716" t="s">
        <v>4941</v>
      </c>
      <c r="F328" s="720">
        <v>15</v>
      </c>
      <c r="G328" s="720">
        <v>1485</v>
      </c>
      <c r="H328" s="720">
        <v>0.82637729549248751</v>
      </c>
      <c r="I328" s="720">
        <v>99</v>
      </c>
      <c r="J328" s="720">
        <v>18</v>
      </c>
      <c r="K328" s="720">
        <v>1797</v>
      </c>
      <c r="L328" s="720">
        <v>1</v>
      </c>
      <c r="M328" s="720">
        <v>99.833333333333329</v>
      </c>
      <c r="N328" s="720">
        <v>12</v>
      </c>
      <c r="O328" s="720">
        <v>1200</v>
      </c>
      <c r="P328" s="745">
        <v>0.667779632721202</v>
      </c>
      <c r="Q328" s="721">
        <v>100</v>
      </c>
    </row>
    <row r="329" spans="1:17" ht="14.45" customHeight="1" x14ac:dyDescent="0.2">
      <c r="A329" s="715" t="s">
        <v>4933</v>
      </c>
      <c r="B329" s="716" t="s">
        <v>4934</v>
      </c>
      <c r="C329" s="716" t="s">
        <v>3029</v>
      </c>
      <c r="D329" s="716" t="s">
        <v>4942</v>
      </c>
      <c r="E329" s="716" t="s">
        <v>4943</v>
      </c>
      <c r="F329" s="720">
        <v>214</v>
      </c>
      <c r="G329" s="720">
        <v>29318</v>
      </c>
      <c r="H329" s="720">
        <v>0.98617511520737322</v>
      </c>
      <c r="I329" s="720">
        <v>137</v>
      </c>
      <c r="J329" s="720">
        <v>217</v>
      </c>
      <c r="K329" s="720">
        <v>29729</v>
      </c>
      <c r="L329" s="720">
        <v>1</v>
      </c>
      <c r="M329" s="720">
        <v>137</v>
      </c>
      <c r="N329" s="720">
        <v>179</v>
      </c>
      <c r="O329" s="720">
        <v>24702</v>
      </c>
      <c r="P329" s="745">
        <v>0.83090584950721513</v>
      </c>
      <c r="Q329" s="721">
        <v>138</v>
      </c>
    </row>
    <row r="330" spans="1:17" ht="14.45" customHeight="1" x14ac:dyDescent="0.2">
      <c r="A330" s="715" t="s">
        <v>4933</v>
      </c>
      <c r="B330" s="716" t="s">
        <v>4934</v>
      </c>
      <c r="C330" s="716" t="s">
        <v>3029</v>
      </c>
      <c r="D330" s="716" t="s">
        <v>4944</v>
      </c>
      <c r="E330" s="716" t="s">
        <v>4943</v>
      </c>
      <c r="F330" s="720">
        <v>1</v>
      </c>
      <c r="G330" s="720">
        <v>183</v>
      </c>
      <c r="H330" s="720">
        <v>0.24864130434782608</v>
      </c>
      <c r="I330" s="720">
        <v>183</v>
      </c>
      <c r="J330" s="720">
        <v>4</v>
      </c>
      <c r="K330" s="720">
        <v>736</v>
      </c>
      <c r="L330" s="720">
        <v>1</v>
      </c>
      <c r="M330" s="720">
        <v>184</v>
      </c>
      <c r="N330" s="720">
        <v>4</v>
      </c>
      <c r="O330" s="720">
        <v>740</v>
      </c>
      <c r="P330" s="745">
        <v>1.0054347826086956</v>
      </c>
      <c r="Q330" s="721">
        <v>185</v>
      </c>
    </row>
    <row r="331" spans="1:17" ht="14.45" customHeight="1" x14ac:dyDescent="0.2">
      <c r="A331" s="715" t="s">
        <v>4933</v>
      </c>
      <c r="B331" s="716" t="s">
        <v>4934</v>
      </c>
      <c r="C331" s="716" t="s">
        <v>3029</v>
      </c>
      <c r="D331" s="716" t="s">
        <v>4945</v>
      </c>
      <c r="E331" s="716" t="s">
        <v>4946</v>
      </c>
      <c r="F331" s="720">
        <v>1</v>
      </c>
      <c r="G331" s="720">
        <v>639</v>
      </c>
      <c r="H331" s="720">
        <v>0.49921874999999999</v>
      </c>
      <c r="I331" s="720">
        <v>639</v>
      </c>
      <c r="J331" s="720">
        <v>2</v>
      </c>
      <c r="K331" s="720">
        <v>1280</v>
      </c>
      <c r="L331" s="720">
        <v>1</v>
      </c>
      <c r="M331" s="720">
        <v>640</v>
      </c>
      <c r="N331" s="720"/>
      <c r="O331" s="720"/>
      <c r="P331" s="745"/>
      <c r="Q331" s="721"/>
    </row>
    <row r="332" spans="1:17" ht="14.45" customHeight="1" x14ac:dyDescent="0.2">
      <c r="A332" s="715" t="s">
        <v>4933</v>
      </c>
      <c r="B332" s="716" t="s">
        <v>4934</v>
      </c>
      <c r="C332" s="716" t="s">
        <v>3029</v>
      </c>
      <c r="D332" s="716" t="s">
        <v>4947</v>
      </c>
      <c r="E332" s="716" t="s">
        <v>4948</v>
      </c>
      <c r="F332" s="720">
        <v>33</v>
      </c>
      <c r="G332" s="720">
        <v>5709</v>
      </c>
      <c r="H332" s="720">
        <v>0.91139846743295017</v>
      </c>
      <c r="I332" s="720">
        <v>173</v>
      </c>
      <c r="J332" s="720">
        <v>36</v>
      </c>
      <c r="K332" s="720">
        <v>6264</v>
      </c>
      <c r="L332" s="720">
        <v>1</v>
      </c>
      <c r="M332" s="720">
        <v>174</v>
      </c>
      <c r="N332" s="720">
        <v>31</v>
      </c>
      <c r="O332" s="720">
        <v>5425</v>
      </c>
      <c r="P332" s="745">
        <v>0.86606002554278416</v>
      </c>
      <c r="Q332" s="721">
        <v>175</v>
      </c>
    </row>
    <row r="333" spans="1:17" ht="14.45" customHeight="1" x14ac:dyDescent="0.2">
      <c r="A333" s="715" t="s">
        <v>4933</v>
      </c>
      <c r="B333" s="716" t="s">
        <v>4934</v>
      </c>
      <c r="C333" s="716" t="s">
        <v>3029</v>
      </c>
      <c r="D333" s="716" t="s">
        <v>4949</v>
      </c>
      <c r="E333" s="716" t="s">
        <v>4950</v>
      </c>
      <c r="F333" s="720"/>
      <c r="G333" s="720"/>
      <c r="H333" s="720"/>
      <c r="I333" s="720"/>
      <c r="J333" s="720">
        <v>2</v>
      </c>
      <c r="K333" s="720">
        <v>694</v>
      </c>
      <c r="L333" s="720">
        <v>1</v>
      </c>
      <c r="M333" s="720">
        <v>347</v>
      </c>
      <c r="N333" s="720">
        <v>5</v>
      </c>
      <c r="O333" s="720">
        <v>1740</v>
      </c>
      <c r="P333" s="745">
        <v>2.5072046109510087</v>
      </c>
      <c r="Q333" s="721">
        <v>348</v>
      </c>
    </row>
    <row r="334" spans="1:17" ht="14.45" customHeight="1" x14ac:dyDescent="0.2">
      <c r="A334" s="715" t="s">
        <v>4933</v>
      </c>
      <c r="B334" s="716" t="s">
        <v>4934</v>
      </c>
      <c r="C334" s="716" t="s">
        <v>3029</v>
      </c>
      <c r="D334" s="716" t="s">
        <v>4951</v>
      </c>
      <c r="E334" s="716" t="s">
        <v>4952</v>
      </c>
      <c r="F334" s="720">
        <v>92</v>
      </c>
      <c r="G334" s="720">
        <v>25208</v>
      </c>
      <c r="H334" s="720">
        <v>0.33699633699633702</v>
      </c>
      <c r="I334" s="720">
        <v>274</v>
      </c>
      <c r="J334" s="720">
        <v>273</v>
      </c>
      <c r="K334" s="720">
        <v>74802</v>
      </c>
      <c r="L334" s="720">
        <v>1</v>
      </c>
      <c r="M334" s="720">
        <v>274</v>
      </c>
      <c r="N334" s="720">
        <v>279</v>
      </c>
      <c r="O334" s="720">
        <v>77283</v>
      </c>
      <c r="P334" s="745">
        <v>1.0331675623646426</v>
      </c>
      <c r="Q334" s="721">
        <v>277</v>
      </c>
    </row>
    <row r="335" spans="1:17" ht="14.45" customHeight="1" x14ac:dyDescent="0.2">
      <c r="A335" s="715" t="s">
        <v>4933</v>
      </c>
      <c r="B335" s="716" t="s">
        <v>4934</v>
      </c>
      <c r="C335" s="716" t="s">
        <v>3029</v>
      </c>
      <c r="D335" s="716" t="s">
        <v>4953</v>
      </c>
      <c r="E335" s="716" t="s">
        <v>4954</v>
      </c>
      <c r="F335" s="720">
        <v>323</v>
      </c>
      <c r="G335" s="720">
        <v>45866</v>
      </c>
      <c r="H335" s="720">
        <v>0.8680495098224762</v>
      </c>
      <c r="I335" s="720">
        <v>142</v>
      </c>
      <c r="J335" s="720">
        <v>373</v>
      </c>
      <c r="K335" s="720">
        <v>52838</v>
      </c>
      <c r="L335" s="720">
        <v>1</v>
      </c>
      <c r="M335" s="720">
        <v>141.65683646112601</v>
      </c>
      <c r="N335" s="720">
        <v>417</v>
      </c>
      <c r="O335" s="720">
        <v>58797</v>
      </c>
      <c r="P335" s="745">
        <v>1.1127786820091601</v>
      </c>
      <c r="Q335" s="721">
        <v>141</v>
      </c>
    </row>
    <row r="336" spans="1:17" ht="14.45" customHeight="1" x14ac:dyDescent="0.2">
      <c r="A336" s="715" t="s">
        <v>4933</v>
      </c>
      <c r="B336" s="716" t="s">
        <v>4934</v>
      </c>
      <c r="C336" s="716" t="s">
        <v>3029</v>
      </c>
      <c r="D336" s="716" t="s">
        <v>4955</v>
      </c>
      <c r="E336" s="716" t="s">
        <v>4954</v>
      </c>
      <c r="F336" s="720">
        <v>214</v>
      </c>
      <c r="G336" s="720">
        <v>16692</v>
      </c>
      <c r="H336" s="720">
        <v>0.98228682398634737</v>
      </c>
      <c r="I336" s="720">
        <v>78</v>
      </c>
      <c r="J336" s="720">
        <v>217</v>
      </c>
      <c r="K336" s="720">
        <v>16993</v>
      </c>
      <c r="L336" s="720">
        <v>1</v>
      </c>
      <c r="M336" s="720">
        <v>78.308755760368669</v>
      </c>
      <c r="N336" s="720">
        <v>179</v>
      </c>
      <c r="O336" s="720">
        <v>14141</v>
      </c>
      <c r="P336" s="745">
        <v>0.83216618607661974</v>
      </c>
      <c r="Q336" s="721">
        <v>79</v>
      </c>
    </row>
    <row r="337" spans="1:17" ht="14.45" customHeight="1" x14ac:dyDescent="0.2">
      <c r="A337" s="715" t="s">
        <v>4933</v>
      </c>
      <c r="B337" s="716" t="s">
        <v>4934</v>
      </c>
      <c r="C337" s="716" t="s">
        <v>3029</v>
      </c>
      <c r="D337" s="716" t="s">
        <v>4956</v>
      </c>
      <c r="E337" s="716" t="s">
        <v>4957</v>
      </c>
      <c r="F337" s="720">
        <v>322</v>
      </c>
      <c r="G337" s="720">
        <v>101108</v>
      </c>
      <c r="H337" s="720">
        <v>0.86327077747989278</v>
      </c>
      <c r="I337" s="720">
        <v>314</v>
      </c>
      <c r="J337" s="720">
        <v>373</v>
      </c>
      <c r="K337" s="720">
        <v>117122</v>
      </c>
      <c r="L337" s="720">
        <v>1</v>
      </c>
      <c r="M337" s="720">
        <v>314</v>
      </c>
      <c r="N337" s="720">
        <v>417</v>
      </c>
      <c r="O337" s="720">
        <v>131772</v>
      </c>
      <c r="P337" s="745">
        <v>1.1250832465292602</v>
      </c>
      <c r="Q337" s="721">
        <v>316</v>
      </c>
    </row>
    <row r="338" spans="1:17" ht="14.45" customHeight="1" x14ac:dyDescent="0.2">
      <c r="A338" s="715" t="s">
        <v>4933</v>
      </c>
      <c r="B338" s="716" t="s">
        <v>4934</v>
      </c>
      <c r="C338" s="716" t="s">
        <v>3029</v>
      </c>
      <c r="D338" s="716" t="s">
        <v>4958</v>
      </c>
      <c r="E338" s="716" t="s">
        <v>4959</v>
      </c>
      <c r="F338" s="720"/>
      <c r="G338" s="720"/>
      <c r="H338" s="720"/>
      <c r="I338" s="720"/>
      <c r="J338" s="720"/>
      <c r="K338" s="720"/>
      <c r="L338" s="720"/>
      <c r="M338" s="720"/>
      <c r="N338" s="720">
        <v>4</v>
      </c>
      <c r="O338" s="720">
        <v>1316</v>
      </c>
      <c r="P338" s="745"/>
      <c r="Q338" s="721">
        <v>329</v>
      </c>
    </row>
    <row r="339" spans="1:17" ht="14.45" customHeight="1" x14ac:dyDescent="0.2">
      <c r="A339" s="715" t="s">
        <v>4933</v>
      </c>
      <c r="B339" s="716" t="s">
        <v>4934</v>
      </c>
      <c r="C339" s="716" t="s">
        <v>3029</v>
      </c>
      <c r="D339" s="716" t="s">
        <v>4960</v>
      </c>
      <c r="E339" s="716" t="s">
        <v>4961</v>
      </c>
      <c r="F339" s="720">
        <v>278</v>
      </c>
      <c r="G339" s="720">
        <v>45314</v>
      </c>
      <c r="H339" s="720">
        <v>2.1685490045941807</v>
      </c>
      <c r="I339" s="720">
        <v>163</v>
      </c>
      <c r="J339" s="720">
        <v>128</v>
      </c>
      <c r="K339" s="720">
        <v>20896</v>
      </c>
      <c r="L339" s="720">
        <v>1</v>
      </c>
      <c r="M339" s="720">
        <v>163.25</v>
      </c>
      <c r="N339" s="720">
        <v>71</v>
      </c>
      <c r="O339" s="720">
        <v>11715</v>
      </c>
      <c r="P339" s="745">
        <v>0.56063361408882084</v>
      </c>
      <c r="Q339" s="721">
        <v>165</v>
      </c>
    </row>
    <row r="340" spans="1:17" ht="14.45" customHeight="1" x14ac:dyDescent="0.2">
      <c r="A340" s="715" t="s">
        <v>4933</v>
      </c>
      <c r="B340" s="716" t="s">
        <v>4934</v>
      </c>
      <c r="C340" s="716" t="s">
        <v>3029</v>
      </c>
      <c r="D340" s="716" t="s">
        <v>4962</v>
      </c>
      <c r="E340" s="716" t="s">
        <v>4936</v>
      </c>
      <c r="F340" s="720">
        <v>649</v>
      </c>
      <c r="G340" s="720">
        <v>46728</v>
      </c>
      <c r="H340" s="720">
        <v>0.92749250709592901</v>
      </c>
      <c r="I340" s="720">
        <v>72</v>
      </c>
      <c r="J340" s="720">
        <v>697</v>
      </c>
      <c r="K340" s="720">
        <v>50381</v>
      </c>
      <c r="L340" s="720">
        <v>1</v>
      </c>
      <c r="M340" s="720">
        <v>72.28263988522238</v>
      </c>
      <c r="N340" s="720">
        <v>628</v>
      </c>
      <c r="O340" s="720">
        <v>46472</v>
      </c>
      <c r="P340" s="745">
        <v>0.92241122645441731</v>
      </c>
      <c r="Q340" s="721">
        <v>74</v>
      </c>
    </row>
    <row r="341" spans="1:17" ht="14.45" customHeight="1" x14ac:dyDescent="0.2">
      <c r="A341" s="715" t="s">
        <v>4933</v>
      </c>
      <c r="B341" s="716" t="s">
        <v>4934</v>
      </c>
      <c r="C341" s="716" t="s">
        <v>3029</v>
      </c>
      <c r="D341" s="716" t="s">
        <v>4963</v>
      </c>
      <c r="E341" s="716" t="s">
        <v>4964</v>
      </c>
      <c r="F341" s="720"/>
      <c r="G341" s="720"/>
      <c r="H341" s="720"/>
      <c r="I341" s="720"/>
      <c r="J341" s="720">
        <v>1</v>
      </c>
      <c r="K341" s="720">
        <v>230</v>
      </c>
      <c r="L341" s="720">
        <v>1</v>
      </c>
      <c r="M341" s="720">
        <v>230</v>
      </c>
      <c r="N341" s="720">
        <v>2</v>
      </c>
      <c r="O341" s="720">
        <v>466</v>
      </c>
      <c r="P341" s="745">
        <v>2.026086956521739</v>
      </c>
      <c r="Q341" s="721">
        <v>233</v>
      </c>
    </row>
    <row r="342" spans="1:17" ht="14.45" customHeight="1" x14ac:dyDescent="0.2">
      <c r="A342" s="715" t="s">
        <v>4933</v>
      </c>
      <c r="B342" s="716" t="s">
        <v>4934</v>
      </c>
      <c r="C342" s="716" t="s">
        <v>3029</v>
      </c>
      <c r="D342" s="716" t="s">
        <v>4965</v>
      </c>
      <c r="E342" s="716" t="s">
        <v>4966</v>
      </c>
      <c r="F342" s="720">
        <v>26</v>
      </c>
      <c r="G342" s="720">
        <v>31486</v>
      </c>
      <c r="H342" s="720">
        <v>0.60415227569268559</v>
      </c>
      <c r="I342" s="720">
        <v>1211</v>
      </c>
      <c r="J342" s="720">
        <v>43</v>
      </c>
      <c r="K342" s="720">
        <v>52116</v>
      </c>
      <c r="L342" s="720">
        <v>1</v>
      </c>
      <c r="M342" s="720">
        <v>1212</v>
      </c>
      <c r="N342" s="720">
        <v>28</v>
      </c>
      <c r="O342" s="720">
        <v>34048</v>
      </c>
      <c r="P342" s="745">
        <v>0.65331184281218824</v>
      </c>
      <c r="Q342" s="721">
        <v>1216</v>
      </c>
    </row>
    <row r="343" spans="1:17" ht="14.45" customHeight="1" x14ac:dyDescent="0.2">
      <c r="A343" s="715" t="s">
        <v>4933</v>
      </c>
      <c r="B343" s="716" t="s">
        <v>4934</v>
      </c>
      <c r="C343" s="716" t="s">
        <v>3029</v>
      </c>
      <c r="D343" s="716" t="s">
        <v>4967</v>
      </c>
      <c r="E343" s="716" t="s">
        <v>4968</v>
      </c>
      <c r="F343" s="720">
        <v>18</v>
      </c>
      <c r="G343" s="720">
        <v>2052</v>
      </c>
      <c r="H343" s="720">
        <v>0.61529235382308844</v>
      </c>
      <c r="I343" s="720">
        <v>114</v>
      </c>
      <c r="J343" s="720">
        <v>29</v>
      </c>
      <c r="K343" s="720">
        <v>3335</v>
      </c>
      <c r="L343" s="720">
        <v>1</v>
      </c>
      <c r="M343" s="720">
        <v>115</v>
      </c>
      <c r="N343" s="720">
        <v>21</v>
      </c>
      <c r="O343" s="720">
        <v>2436</v>
      </c>
      <c r="P343" s="745">
        <v>0.73043478260869565</v>
      </c>
      <c r="Q343" s="721">
        <v>116</v>
      </c>
    </row>
    <row r="344" spans="1:17" ht="14.45" customHeight="1" x14ac:dyDescent="0.2">
      <c r="A344" s="715" t="s">
        <v>4933</v>
      </c>
      <c r="B344" s="716" t="s">
        <v>4934</v>
      </c>
      <c r="C344" s="716" t="s">
        <v>3029</v>
      </c>
      <c r="D344" s="716" t="s">
        <v>4969</v>
      </c>
      <c r="E344" s="716" t="s">
        <v>4970</v>
      </c>
      <c r="F344" s="720"/>
      <c r="G344" s="720"/>
      <c r="H344" s="720"/>
      <c r="I344" s="720"/>
      <c r="J344" s="720">
        <v>1</v>
      </c>
      <c r="K344" s="720">
        <v>347</v>
      </c>
      <c r="L344" s="720">
        <v>1</v>
      </c>
      <c r="M344" s="720">
        <v>347</v>
      </c>
      <c r="N344" s="720">
        <v>7</v>
      </c>
      <c r="O344" s="720">
        <v>2450</v>
      </c>
      <c r="P344" s="745">
        <v>7.0605187319884726</v>
      </c>
      <c r="Q344" s="721">
        <v>350</v>
      </c>
    </row>
    <row r="345" spans="1:17" ht="14.45" customHeight="1" x14ac:dyDescent="0.2">
      <c r="A345" s="715" t="s">
        <v>4933</v>
      </c>
      <c r="B345" s="716" t="s">
        <v>4934</v>
      </c>
      <c r="C345" s="716" t="s">
        <v>3029</v>
      </c>
      <c r="D345" s="716" t="s">
        <v>4971</v>
      </c>
      <c r="E345" s="716" t="s">
        <v>4972</v>
      </c>
      <c r="F345" s="720"/>
      <c r="G345" s="720"/>
      <c r="H345" s="720"/>
      <c r="I345" s="720"/>
      <c r="J345" s="720">
        <v>2</v>
      </c>
      <c r="K345" s="720">
        <v>2134</v>
      </c>
      <c r="L345" s="720">
        <v>1</v>
      </c>
      <c r="M345" s="720">
        <v>1067</v>
      </c>
      <c r="N345" s="720">
        <v>1</v>
      </c>
      <c r="O345" s="720">
        <v>1075</v>
      </c>
      <c r="P345" s="745">
        <v>0.50374882849109648</v>
      </c>
      <c r="Q345" s="721">
        <v>1075</v>
      </c>
    </row>
    <row r="346" spans="1:17" ht="14.45" customHeight="1" x14ac:dyDescent="0.2">
      <c r="A346" s="715" t="s">
        <v>4933</v>
      </c>
      <c r="B346" s="716" t="s">
        <v>4934</v>
      </c>
      <c r="C346" s="716" t="s">
        <v>3029</v>
      </c>
      <c r="D346" s="716" t="s">
        <v>4973</v>
      </c>
      <c r="E346" s="716" t="s">
        <v>4974</v>
      </c>
      <c r="F346" s="720">
        <v>1</v>
      </c>
      <c r="G346" s="720">
        <v>302</v>
      </c>
      <c r="H346" s="720"/>
      <c r="I346" s="720">
        <v>302</v>
      </c>
      <c r="J346" s="720"/>
      <c r="K346" s="720"/>
      <c r="L346" s="720"/>
      <c r="M346" s="720"/>
      <c r="N346" s="720">
        <v>1</v>
      </c>
      <c r="O346" s="720">
        <v>304</v>
      </c>
      <c r="P346" s="745"/>
      <c r="Q346" s="721">
        <v>304</v>
      </c>
    </row>
    <row r="347" spans="1:17" ht="14.45" customHeight="1" x14ac:dyDescent="0.2">
      <c r="A347" s="715" t="s">
        <v>4975</v>
      </c>
      <c r="B347" s="716" t="s">
        <v>4976</v>
      </c>
      <c r="C347" s="716" t="s">
        <v>3029</v>
      </c>
      <c r="D347" s="716" t="s">
        <v>4977</v>
      </c>
      <c r="E347" s="716" t="s">
        <v>4978</v>
      </c>
      <c r="F347" s="720">
        <v>454</v>
      </c>
      <c r="G347" s="720">
        <v>26332</v>
      </c>
      <c r="H347" s="720">
        <v>3.4656488549618323</v>
      </c>
      <c r="I347" s="720">
        <v>58</v>
      </c>
      <c r="J347" s="720">
        <v>131</v>
      </c>
      <c r="K347" s="720">
        <v>7598</v>
      </c>
      <c r="L347" s="720">
        <v>1</v>
      </c>
      <c r="M347" s="720">
        <v>58</v>
      </c>
      <c r="N347" s="720">
        <v>132</v>
      </c>
      <c r="O347" s="720">
        <v>7788</v>
      </c>
      <c r="P347" s="745">
        <v>1.025006580679126</v>
      </c>
      <c r="Q347" s="721">
        <v>59</v>
      </c>
    </row>
    <row r="348" spans="1:17" ht="14.45" customHeight="1" x14ac:dyDescent="0.2">
      <c r="A348" s="715" t="s">
        <v>4975</v>
      </c>
      <c r="B348" s="716" t="s">
        <v>4976</v>
      </c>
      <c r="C348" s="716" t="s">
        <v>3029</v>
      </c>
      <c r="D348" s="716" t="s">
        <v>4979</v>
      </c>
      <c r="E348" s="716" t="s">
        <v>4980</v>
      </c>
      <c r="F348" s="720">
        <v>273</v>
      </c>
      <c r="G348" s="720">
        <v>35763</v>
      </c>
      <c r="H348" s="720">
        <v>1.666884176182708</v>
      </c>
      <c r="I348" s="720">
        <v>131</v>
      </c>
      <c r="J348" s="720">
        <v>163</v>
      </c>
      <c r="K348" s="720">
        <v>21455</v>
      </c>
      <c r="L348" s="720">
        <v>1</v>
      </c>
      <c r="M348" s="720">
        <v>131.62576687116564</v>
      </c>
      <c r="N348" s="720">
        <v>123</v>
      </c>
      <c r="O348" s="720">
        <v>16236</v>
      </c>
      <c r="P348" s="745">
        <v>0.75674667909578186</v>
      </c>
      <c r="Q348" s="721">
        <v>132</v>
      </c>
    </row>
    <row r="349" spans="1:17" ht="14.45" customHeight="1" x14ac:dyDescent="0.2">
      <c r="A349" s="715" t="s">
        <v>4975</v>
      </c>
      <c r="B349" s="716" t="s">
        <v>4976</v>
      </c>
      <c r="C349" s="716" t="s">
        <v>3029</v>
      </c>
      <c r="D349" s="716" t="s">
        <v>4981</v>
      </c>
      <c r="E349" s="716" t="s">
        <v>4982</v>
      </c>
      <c r="F349" s="720">
        <v>33</v>
      </c>
      <c r="G349" s="720">
        <v>6237</v>
      </c>
      <c r="H349" s="720">
        <v>1.8290322580645162</v>
      </c>
      <c r="I349" s="720">
        <v>189</v>
      </c>
      <c r="J349" s="720">
        <v>18</v>
      </c>
      <c r="K349" s="720">
        <v>3410</v>
      </c>
      <c r="L349" s="720">
        <v>1</v>
      </c>
      <c r="M349" s="720">
        <v>189.44444444444446</v>
      </c>
      <c r="N349" s="720">
        <v>19</v>
      </c>
      <c r="O349" s="720">
        <v>3610</v>
      </c>
      <c r="P349" s="745">
        <v>1.0586510263929618</v>
      </c>
      <c r="Q349" s="721">
        <v>190</v>
      </c>
    </row>
    <row r="350" spans="1:17" ht="14.45" customHeight="1" x14ac:dyDescent="0.2">
      <c r="A350" s="715" t="s">
        <v>4975</v>
      </c>
      <c r="B350" s="716" t="s">
        <v>4976</v>
      </c>
      <c r="C350" s="716" t="s">
        <v>3029</v>
      </c>
      <c r="D350" s="716" t="s">
        <v>4983</v>
      </c>
      <c r="E350" s="716" t="s">
        <v>4984</v>
      </c>
      <c r="F350" s="720">
        <v>234</v>
      </c>
      <c r="G350" s="720">
        <v>95472</v>
      </c>
      <c r="H350" s="720">
        <v>2.962025316455696</v>
      </c>
      <c r="I350" s="720">
        <v>408</v>
      </c>
      <c r="J350" s="720">
        <v>79</v>
      </c>
      <c r="K350" s="720">
        <v>32232</v>
      </c>
      <c r="L350" s="720">
        <v>1</v>
      </c>
      <c r="M350" s="720">
        <v>408</v>
      </c>
      <c r="N350" s="720">
        <v>60</v>
      </c>
      <c r="O350" s="720">
        <v>24660</v>
      </c>
      <c r="P350" s="745">
        <v>0.76507818317200293</v>
      </c>
      <c r="Q350" s="721">
        <v>411</v>
      </c>
    </row>
    <row r="351" spans="1:17" ht="14.45" customHeight="1" x14ac:dyDescent="0.2">
      <c r="A351" s="715" t="s">
        <v>4975</v>
      </c>
      <c r="B351" s="716" t="s">
        <v>4976</v>
      </c>
      <c r="C351" s="716" t="s">
        <v>3029</v>
      </c>
      <c r="D351" s="716" t="s">
        <v>4985</v>
      </c>
      <c r="E351" s="716" t="s">
        <v>4986</v>
      </c>
      <c r="F351" s="720">
        <v>29</v>
      </c>
      <c r="G351" s="720">
        <v>5220</v>
      </c>
      <c r="H351" s="720">
        <v>2.9</v>
      </c>
      <c r="I351" s="720">
        <v>180</v>
      </c>
      <c r="J351" s="720">
        <v>10</v>
      </c>
      <c r="K351" s="720">
        <v>1800</v>
      </c>
      <c r="L351" s="720">
        <v>1</v>
      </c>
      <c r="M351" s="720">
        <v>180</v>
      </c>
      <c r="N351" s="720">
        <v>25</v>
      </c>
      <c r="O351" s="720">
        <v>4575</v>
      </c>
      <c r="P351" s="745">
        <v>2.5416666666666665</v>
      </c>
      <c r="Q351" s="721">
        <v>183</v>
      </c>
    </row>
    <row r="352" spans="1:17" ht="14.45" customHeight="1" x14ac:dyDescent="0.2">
      <c r="A352" s="715" t="s">
        <v>4975</v>
      </c>
      <c r="B352" s="716" t="s">
        <v>4976</v>
      </c>
      <c r="C352" s="716" t="s">
        <v>3029</v>
      </c>
      <c r="D352" s="716" t="s">
        <v>4987</v>
      </c>
      <c r="E352" s="716" t="s">
        <v>4988</v>
      </c>
      <c r="F352" s="720">
        <v>36</v>
      </c>
      <c r="G352" s="720">
        <v>12096</v>
      </c>
      <c r="H352" s="720">
        <v>2.2433234421364987</v>
      </c>
      <c r="I352" s="720">
        <v>336</v>
      </c>
      <c r="J352" s="720">
        <v>16</v>
      </c>
      <c r="K352" s="720">
        <v>5392</v>
      </c>
      <c r="L352" s="720">
        <v>1</v>
      </c>
      <c r="M352" s="720">
        <v>337</v>
      </c>
      <c r="N352" s="720">
        <v>22</v>
      </c>
      <c r="O352" s="720">
        <v>7502</v>
      </c>
      <c r="P352" s="745">
        <v>1.3913204747774481</v>
      </c>
      <c r="Q352" s="721">
        <v>341</v>
      </c>
    </row>
    <row r="353" spans="1:17" ht="14.45" customHeight="1" x14ac:dyDescent="0.2">
      <c r="A353" s="715" t="s">
        <v>4975</v>
      </c>
      <c r="B353" s="716" t="s">
        <v>4976</v>
      </c>
      <c r="C353" s="716" t="s">
        <v>3029</v>
      </c>
      <c r="D353" s="716" t="s">
        <v>4989</v>
      </c>
      <c r="E353" s="716" t="s">
        <v>4990</v>
      </c>
      <c r="F353" s="720">
        <v>4</v>
      </c>
      <c r="G353" s="720">
        <v>1836</v>
      </c>
      <c r="H353" s="720">
        <v>0.8</v>
      </c>
      <c r="I353" s="720">
        <v>459</v>
      </c>
      <c r="J353" s="720">
        <v>5</v>
      </c>
      <c r="K353" s="720">
        <v>2295</v>
      </c>
      <c r="L353" s="720">
        <v>1</v>
      </c>
      <c r="M353" s="720">
        <v>459</v>
      </c>
      <c r="N353" s="720">
        <v>6</v>
      </c>
      <c r="O353" s="720">
        <v>2772</v>
      </c>
      <c r="P353" s="745">
        <v>1.2078431372549019</v>
      </c>
      <c r="Q353" s="721">
        <v>462</v>
      </c>
    </row>
    <row r="354" spans="1:17" ht="14.45" customHeight="1" x14ac:dyDescent="0.2">
      <c r="A354" s="715" t="s">
        <v>4975</v>
      </c>
      <c r="B354" s="716" t="s">
        <v>4976</v>
      </c>
      <c r="C354" s="716" t="s">
        <v>3029</v>
      </c>
      <c r="D354" s="716" t="s">
        <v>4991</v>
      </c>
      <c r="E354" s="716" t="s">
        <v>4992</v>
      </c>
      <c r="F354" s="720">
        <v>365</v>
      </c>
      <c r="G354" s="720">
        <v>127385</v>
      </c>
      <c r="H354" s="720">
        <v>4.6070524412296567</v>
      </c>
      <c r="I354" s="720">
        <v>349</v>
      </c>
      <c r="J354" s="720">
        <v>79</v>
      </c>
      <c r="K354" s="720">
        <v>27650</v>
      </c>
      <c r="L354" s="720">
        <v>1</v>
      </c>
      <c r="M354" s="720">
        <v>350</v>
      </c>
      <c r="N354" s="720">
        <v>147</v>
      </c>
      <c r="O354" s="720">
        <v>51597</v>
      </c>
      <c r="P354" s="745">
        <v>1.8660759493670886</v>
      </c>
      <c r="Q354" s="721">
        <v>351</v>
      </c>
    </row>
    <row r="355" spans="1:17" ht="14.45" customHeight="1" x14ac:dyDescent="0.2">
      <c r="A355" s="715" t="s">
        <v>4975</v>
      </c>
      <c r="B355" s="716" t="s">
        <v>4976</v>
      </c>
      <c r="C355" s="716" t="s">
        <v>3029</v>
      </c>
      <c r="D355" s="716" t="s">
        <v>4993</v>
      </c>
      <c r="E355" s="716" t="s">
        <v>4994</v>
      </c>
      <c r="F355" s="720">
        <v>2</v>
      </c>
      <c r="G355" s="720">
        <v>3306</v>
      </c>
      <c r="H355" s="720">
        <v>1.997583081570997</v>
      </c>
      <c r="I355" s="720">
        <v>1653</v>
      </c>
      <c r="J355" s="720">
        <v>1</v>
      </c>
      <c r="K355" s="720">
        <v>1655</v>
      </c>
      <c r="L355" s="720">
        <v>1</v>
      </c>
      <c r="M355" s="720">
        <v>1655</v>
      </c>
      <c r="N355" s="720">
        <v>1</v>
      </c>
      <c r="O355" s="720">
        <v>1660</v>
      </c>
      <c r="P355" s="745">
        <v>1.0030211480362539</v>
      </c>
      <c r="Q355" s="721">
        <v>1660</v>
      </c>
    </row>
    <row r="356" spans="1:17" ht="14.45" customHeight="1" x14ac:dyDescent="0.2">
      <c r="A356" s="715" t="s">
        <v>4975</v>
      </c>
      <c r="B356" s="716" t="s">
        <v>4976</v>
      </c>
      <c r="C356" s="716" t="s">
        <v>3029</v>
      </c>
      <c r="D356" s="716" t="s">
        <v>4995</v>
      </c>
      <c r="E356" s="716" t="s">
        <v>4996</v>
      </c>
      <c r="F356" s="720">
        <v>121</v>
      </c>
      <c r="G356" s="720">
        <v>14157</v>
      </c>
      <c r="H356" s="720">
        <v>0.88970588235294112</v>
      </c>
      <c r="I356" s="720">
        <v>117</v>
      </c>
      <c r="J356" s="720">
        <v>136</v>
      </c>
      <c r="K356" s="720">
        <v>15912</v>
      </c>
      <c r="L356" s="720">
        <v>1</v>
      </c>
      <c r="M356" s="720">
        <v>117</v>
      </c>
      <c r="N356" s="720">
        <v>130</v>
      </c>
      <c r="O356" s="720">
        <v>15340</v>
      </c>
      <c r="P356" s="745">
        <v>0.96405228758169936</v>
      </c>
      <c r="Q356" s="721">
        <v>118</v>
      </c>
    </row>
    <row r="357" spans="1:17" ht="14.45" customHeight="1" x14ac:dyDescent="0.2">
      <c r="A357" s="715" t="s">
        <v>4975</v>
      </c>
      <c r="B357" s="716" t="s">
        <v>4976</v>
      </c>
      <c r="C357" s="716" t="s">
        <v>3029</v>
      </c>
      <c r="D357" s="716" t="s">
        <v>4997</v>
      </c>
      <c r="E357" s="716" t="s">
        <v>4998</v>
      </c>
      <c r="F357" s="720">
        <v>9</v>
      </c>
      <c r="G357" s="720">
        <v>3519</v>
      </c>
      <c r="H357" s="720">
        <v>2.9923469387755102</v>
      </c>
      <c r="I357" s="720">
        <v>391</v>
      </c>
      <c r="J357" s="720">
        <v>3</v>
      </c>
      <c r="K357" s="720">
        <v>1176</v>
      </c>
      <c r="L357" s="720">
        <v>1</v>
      </c>
      <c r="M357" s="720">
        <v>392</v>
      </c>
      <c r="N357" s="720">
        <v>2</v>
      </c>
      <c r="O357" s="720">
        <v>798</v>
      </c>
      <c r="P357" s="745">
        <v>0.6785714285714286</v>
      </c>
      <c r="Q357" s="721">
        <v>399</v>
      </c>
    </row>
    <row r="358" spans="1:17" ht="14.45" customHeight="1" x14ac:dyDescent="0.2">
      <c r="A358" s="715" t="s">
        <v>4975</v>
      </c>
      <c r="B358" s="716" t="s">
        <v>4976</v>
      </c>
      <c r="C358" s="716" t="s">
        <v>3029</v>
      </c>
      <c r="D358" s="716" t="s">
        <v>4999</v>
      </c>
      <c r="E358" s="716" t="s">
        <v>5000</v>
      </c>
      <c r="F358" s="720">
        <v>96</v>
      </c>
      <c r="G358" s="720">
        <v>3648</v>
      </c>
      <c r="H358" s="720">
        <v>0.86486486486486491</v>
      </c>
      <c r="I358" s="720">
        <v>38</v>
      </c>
      <c r="J358" s="720">
        <v>111</v>
      </c>
      <c r="K358" s="720">
        <v>4218</v>
      </c>
      <c r="L358" s="720">
        <v>1</v>
      </c>
      <c r="M358" s="720">
        <v>38</v>
      </c>
      <c r="N358" s="720">
        <v>98</v>
      </c>
      <c r="O358" s="720">
        <v>3724</v>
      </c>
      <c r="P358" s="745">
        <v>0.88288288288288286</v>
      </c>
      <c r="Q358" s="721">
        <v>38</v>
      </c>
    </row>
    <row r="359" spans="1:17" ht="14.45" customHeight="1" x14ac:dyDescent="0.2">
      <c r="A359" s="715" t="s">
        <v>4975</v>
      </c>
      <c r="B359" s="716" t="s">
        <v>4976</v>
      </c>
      <c r="C359" s="716" t="s">
        <v>3029</v>
      </c>
      <c r="D359" s="716" t="s">
        <v>5001</v>
      </c>
      <c r="E359" s="716" t="s">
        <v>5002</v>
      </c>
      <c r="F359" s="720">
        <v>11</v>
      </c>
      <c r="G359" s="720">
        <v>7755</v>
      </c>
      <c r="H359" s="720">
        <v>3.6580188679245285</v>
      </c>
      <c r="I359" s="720">
        <v>705</v>
      </c>
      <c r="J359" s="720">
        <v>3</v>
      </c>
      <c r="K359" s="720">
        <v>2120</v>
      </c>
      <c r="L359" s="720">
        <v>1</v>
      </c>
      <c r="M359" s="720">
        <v>706.66666666666663</v>
      </c>
      <c r="N359" s="720">
        <v>2</v>
      </c>
      <c r="O359" s="720">
        <v>1426</v>
      </c>
      <c r="P359" s="745">
        <v>0.67264150943396228</v>
      </c>
      <c r="Q359" s="721">
        <v>713</v>
      </c>
    </row>
    <row r="360" spans="1:17" ht="14.45" customHeight="1" x14ac:dyDescent="0.2">
      <c r="A360" s="715" t="s">
        <v>4975</v>
      </c>
      <c r="B360" s="716" t="s">
        <v>4976</v>
      </c>
      <c r="C360" s="716" t="s">
        <v>3029</v>
      </c>
      <c r="D360" s="716" t="s">
        <v>5003</v>
      </c>
      <c r="E360" s="716" t="s">
        <v>5004</v>
      </c>
      <c r="F360" s="720">
        <v>299</v>
      </c>
      <c r="G360" s="720">
        <v>91195</v>
      </c>
      <c r="H360" s="720">
        <v>2.1205673758865249</v>
      </c>
      <c r="I360" s="720">
        <v>305</v>
      </c>
      <c r="J360" s="720">
        <v>141</v>
      </c>
      <c r="K360" s="720">
        <v>43005</v>
      </c>
      <c r="L360" s="720">
        <v>1</v>
      </c>
      <c r="M360" s="720">
        <v>305</v>
      </c>
      <c r="N360" s="720">
        <v>134</v>
      </c>
      <c r="O360" s="720">
        <v>41272</v>
      </c>
      <c r="P360" s="745">
        <v>0.95970236019067545</v>
      </c>
      <c r="Q360" s="721">
        <v>308</v>
      </c>
    </row>
    <row r="361" spans="1:17" ht="14.45" customHeight="1" x14ac:dyDescent="0.2">
      <c r="A361" s="715" t="s">
        <v>4975</v>
      </c>
      <c r="B361" s="716" t="s">
        <v>4976</v>
      </c>
      <c r="C361" s="716" t="s">
        <v>3029</v>
      </c>
      <c r="D361" s="716" t="s">
        <v>5005</v>
      </c>
      <c r="E361" s="716" t="s">
        <v>5006</v>
      </c>
      <c r="F361" s="720">
        <v>360</v>
      </c>
      <c r="G361" s="720">
        <v>177840</v>
      </c>
      <c r="H361" s="720">
        <v>2.151333696243876</v>
      </c>
      <c r="I361" s="720">
        <v>494</v>
      </c>
      <c r="J361" s="720">
        <v>167</v>
      </c>
      <c r="K361" s="720">
        <v>82665</v>
      </c>
      <c r="L361" s="720">
        <v>1</v>
      </c>
      <c r="M361" s="720">
        <v>495</v>
      </c>
      <c r="N361" s="720">
        <v>107</v>
      </c>
      <c r="O361" s="720">
        <v>53393</v>
      </c>
      <c r="P361" s="745">
        <v>0.64589608661464948</v>
      </c>
      <c r="Q361" s="721">
        <v>499</v>
      </c>
    </row>
    <row r="362" spans="1:17" ht="14.45" customHeight="1" x14ac:dyDescent="0.2">
      <c r="A362" s="715" t="s">
        <v>4975</v>
      </c>
      <c r="B362" s="716" t="s">
        <v>4976</v>
      </c>
      <c r="C362" s="716" t="s">
        <v>3029</v>
      </c>
      <c r="D362" s="716" t="s">
        <v>5007</v>
      </c>
      <c r="E362" s="716" t="s">
        <v>5008</v>
      </c>
      <c r="F362" s="720">
        <v>513</v>
      </c>
      <c r="G362" s="720">
        <v>189810</v>
      </c>
      <c r="H362" s="720">
        <v>2.3468681223571304</v>
      </c>
      <c r="I362" s="720">
        <v>370</v>
      </c>
      <c r="J362" s="720">
        <v>218</v>
      </c>
      <c r="K362" s="720">
        <v>80878</v>
      </c>
      <c r="L362" s="720">
        <v>1</v>
      </c>
      <c r="M362" s="720">
        <v>371</v>
      </c>
      <c r="N362" s="720">
        <v>212</v>
      </c>
      <c r="O362" s="720">
        <v>79712</v>
      </c>
      <c r="P362" s="745">
        <v>0.98558322411533417</v>
      </c>
      <c r="Q362" s="721">
        <v>376</v>
      </c>
    </row>
    <row r="363" spans="1:17" ht="14.45" customHeight="1" x14ac:dyDescent="0.2">
      <c r="A363" s="715" t="s">
        <v>4975</v>
      </c>
      <c r="B363" s="716" t="s">
        <v>4976</v>
      </c>
      <c r="C363" s="716" t="s">
        <v>3029</v>
      </c>
      <c r="D363" s="716" t="s">
        <v>5009</v>
      </c>
      <c r="E363" s="716" t="s">
        <v>5010</v>
      </c>
      <c r="F363" s="720"/>
      <c r="G363" s="720"/>
      <c r="H363" s="720"/>
      <c r="I363" s="720"/>
      <c r="J363" s="720"/>
      <c r="K363" s="720"/>
      <c r="L363" s="720"/>
      <c r="M363" s="720"/>
      <c r="N363" s="720">
        <v>2</v>
      </c>
      <c r="O363" s="720">
        <v>6264</v>
      </c>
      <c r="P363" s="745"/>
      <c r="Q363" s="721">
        <v>3132</v>
      </c>
    </row>
    <row r="364" spans="1:17" ht="14.45" customHeight="1" x14ac:dyDescent="0.2">
      <c r="A364" s="715" t="s">
        <v>4975</v>
      </c>
      <c r="B364" s="716" t="s">
        <v>4976</v>
      </c>
      <c r="C364" s="716" t="s">
        <v>3029</v>
      </c>
      <c r="D364" s="716" t="s">
        <v>5011</v>
      </c>
      <c r="E364" s="716" t="s">
        <v>5012</v>
      </c>
      <c r="F364" s="720"/>
      <c r="G364" s="720"/>
      <c r="H364" s="720"/>
      <c r="I364" s="720"/>
      <c r="J364" s="720">
        <v>1</v>
      </c>
      <c r="K364" s="720">
        <v>12</v>
      </c>
      <c r="L364" s="720">
        <v>1</v>
      </c>
      <c r="M364" s="720">
        <v>12</v>
      </c>
      <c r="N364" s="720"/>
      <c r="O364" s="720"/>
      <c r="P364" s="745"/>
      <c r="Q364" s="721"/>
    </row>
    <row r="365" spans="1:17" ht="14.45" customHeight="1" x14ac:dyDescent="0.2">
      <c r="A365" s="715" t="s">
        <v>4975</v>
      </c>
      <c r="B365" s="716" t="s">
        <v>4976</v>
      </c>
      <c r="C365" s="716" t="s">
        <v>3029</v>
      </c>
      <c r="D365" s="716" t="s">
        <v>5013</v>
      </c>
      <c r="E365" s="716" t="s">
        <v>5014</v>
      </c>
      <c r="F365" s="720">
        <v>2</v>
      </c>
      <c r="G365" s="720">
        <v>25588</v>
      </c>
      <c r="H365" s="720">
        <v>0.49992185057830574</v>
      </c>
      <c r="I365" s="720">
        <v>12794</v>
      </c>
      <c r="J365" s="720">
        <v>4</v>
      </c>
      <c r="K365" s="720">
        <v>51184</v>
      </c>
      <c r="L365" s="720">
        <v>1</v>
      </c>
      <c r="M365" s="720">
        <v>12796</v>
      </c>
      <c r="N365" s="720">
        <v>10</v>
      </c>
      <c r="O365" s="720">
        <v>128040</v>
      </c>
      <c r="P365" s="745">
        <v>2.5015629884338857</v>
      </c>
      <c r="Q365" s="721">
        <v>12804</v>
      </c>
    </row>
    <row r="366" spans="1:17" ht="14.45" customHeight="1" x14ac:dyDescent="0.2">
      <c r="A366" s="715" t="s">
        <v>4975</v>
      </c>
      <c r="B366" s="716" t="s">
        <v>4976</v>
      </c>
      <c r="C366" s="716" t="s">
        <v>3029</v>
      </c>
      <c r="D366" s="716" t="s">
        <v>5015</v>
      </c>
      <c r="E366" s="716" t="s">
        <v>5016</v>
      </c>
      <c r="F366" s="720">
        <v>4</v>
      </c>
      <c r="G366" s="720">
        <v>444</v>
      </c>
      <c r="H366" s="720">
        <v>0.44047619047619047</v>
      </c>
      <c r="I366" s="720">
        <v>111</v>
      </c>
      <c r="J366" s="720">
        <v>9</v>
      </c>
      <c r="K366" s="720">
        <v>1008</v>
      </c>
      <c r="L366" s="720">
        <v>1</v>
      </c>
      <c r="M366" s="720">
        <v>112</v>
      </c>
      <c r="N366" s="720">
        <v>3</v>
      </c>
      <c r="O366" s="720">
        <v>339</v>
      </c>
      <c r="P366" s="745">
        <v>0.33630952380952384</v>
      </c>
      <c r="Q366" s="721">
        <v>113</v>
      </c>
    </row>
    <row r="367" spans="1:17" ht="14.45" customHeight="1" x14ac:dyDescent="0.2">
      <c r="A367" s="715" t="s">
        <v>4975</v>
      </c>
      <c r="B367" s="716" t="s">
        <v>4976</v>
      </c>
      <c r="C367" s="716" t="s">
        <v>3029</v>
      </c>
      <c r="D367" s="716" t="s">
        <v>5017</v>
      </c>
      <c r="E367" s="716" t="s">
        <v>5018</v>
      </c>
      <c r="F367" s="720">
        <v>4</v>
      </c>
      <c r="G367" s="720">
        <v>500</v>
      </c>
      <c r="H367" s="720">
        <v>0.56947608200455579</v>
      </c>
      <c r="I367" s="720">
        <v>125</v>
      </c>
      <c r="J367" s="720">
        <v>7</v>
      </c>
      <c r="K367" s="720">
        <v>878</v>
      </c>
      <c r="L367" s="720">
        <v>1</v>
      </c>
      <c r="M367" s="720">
        <v>125.42857142857143</v>
      </c>
      <c r="N367" s="720">
        <v>2</v>
      </c>
      <c r="O367" s="720">
        <v>252</v>
      </c>
      <c r="P367" s="745">
        <v>0.28701594533029612</v>
      </c>
      <c r="Q367" s="721">
        <v>126</v>
      </c>
    </row>
    <row r="368" spans="1:17" ht="14.45" customHeight="1" x14ac:dyDescent="0.2">
      <c r="A368" s="715" t="s">
        <v>4975</v>
      </c>
      <c r="B368" s="716" t="s">
        <v>4976</v>
      </c>
      <c r="C368" s="716" t="s">
        <v>3029</v>
      </c>
      <c r="D368" s="716" t="s">
        <v>5019</v>
      </c>
      <c r="E368" s="716" t="s">
        <v>5020</v>
      </c>
      <c r="F368" s="720">
        <v>161</v>
      </c>
      <c r="G368" s="720">
        <v>79695</v>
      </c>
      <c r="H368" s="720">
        <v>1.0640755180516983</v>
      </c>
      <c r="I368" s="720">
        <v>495</v>
      </c>
      <c r="J368" s="720">
        <v>151</v>
      </c>
      <c r="K368" s="720">
        <v>74896</v>
      </c>
      <c r="L368" s="720">
        <v>1</v>
      </c>
      <c r="M368" s="720">
        <v>496</v>
      </c>
      <c r="N368" s="720">
        <v>118</v>
      </c>
      <c r="O368" s="720">
        <v>59000</v>
      </c>
      <c r="P368" s="745">
        <v>0.78775902584917756</v>
      </c>
      <c r="Q368" s="721">
        <v>500</v>
      </c>
    </row>
    <row r="369" spans="1:17" ht="14.45" customHeight="1" x14ac:dyDescent="0.2">
      <c r="A369" s="715" t="s">
        <v>4975</v>
      </c>
      <c r="B369" s="716" t="s">
        <v>4976</v>
      </c>
      <c r="C369" s="716" t="s">
        <v>3029</v>
      </c>
      <c r="D369" s="716" t="s">
        <v>5021</v>
      </c>
      <c r="E369" s="716" t="s">
        <v>5022</v>
      </c>
      <c r="F369" s="720">
        <v>17</v>
      </c>
      <c r="G369" s="720">
        <v>7752</v>
      </c>
      <c r="H369" s="720">
        <v>1.6925764192139738</v>
      </c>
      <c r="I369" s="720">
        <v>456</v>
      </c>
      <c r="J369" s="720">
        <v>10</v>
      </c>
      <c r="K369" s="720">
        <v>4580</v>
      </c>
      <c r="L369" s="720">
        <v>1</v>
      </c>
      <c r="M369" s="720">
        <v>458</v>
      </c>
      <c r="N369" s="720">
        <v>7</v>
      </c>
      <c r="O369" s="720">
        <v>3241</v>
      </c>
      <c r="P369" s="745">
        <v>0.70764192139737991</v>
      </c>
      <c r="Q369" s="721">
        <v>463</v>
      </c>
    </row>
    <row r="370" spans="1:17" ht="14.45" customHeight="1" x14ac:dyDescent="0.2">
      <c r="A370" s="715" t="s">
        <v>4975</v>
      </c>
      <c r="B370" s="716" t="s">
        <v>4976</v>
      </c>
      <c r="C370" s="716" t="s">
        <v>3029</v>
      </c>
      <c r="D370" s="716" t="s">
        <v>5023</v>
      </c>
      <c r="E370" s="716" t="s">
        <v>5024</v>
      </c>
      <c r="F370" s="720">
        <v>26</v>
      </c>
      <c r="G370" s="720">
        <v>1508</v>
      </c>
      <c r="H370" s="720">
        <v>2.3636363636363638</v>
      </c>
      <c r="I370" s="720">
        <v>58</v>
      </c>
      <c r="J370" s="720">
        <v>11</v>
      </c>
      <c r="K370" s="720">
        <v>638</v>
      </c>
      <c r="L370" s="720">
        <v>1</v>
      </c>
      <c r="M370" s="720">
        <v>58</v>
      </c>
      <c r="N370" s="720">
        <v>13</v>
      </c>
      <c r="O370" s="720">
        <v>767</v>
      </c>
      <c r="P370" s="745">
        <v>1.202194357366771</v>
      </c>
      <c r="Q370" s="721">
        <v>59</v>
      </c>
    </row>
    <row r="371" spans="1:17" ht="14.45" customHeight="1" x14ac:dyDescent="0.2">
      <c r="A371" s="715" t="s">
        <v>4975</v>
      </c>
      <c r="B371" s="716" t="s">
        <v>4976</v>
      </c>
      <c r="C371" s="716" t="s">
        <v>3029</v>
      </c>
      <c r="D371" s="716" t="s">
        <v>5025</v>
      </c>
      <c r="E371" s="716" t="s">
        <v>5026</v>
      </c>
      <c r="F371" s="720">
        <v>2</v>
      </c>
      <c r="G371" s="720">
        <v>4346</v>
      </c>
      <c r="H371" s="720">
        <v>0.66636001226617603</v>
      </c>
      <c r="I371" s="720">
        <v>2173</v>
      </c>
      <c r="J371" s="720">
        <v>3</v>
      </c>
      <c r="K371" s="720">
        <v>6522</v>
      </c>
      <c r="L371" s="720">
        <v>1</v>
      </c>
      <c r="M371" s="720">
        <v>2174</v>
      </c>
      <c r="N371" s="720">
        <v>5</v>
      </c>
      <c r="O371" s="720">
        <v>10895</v>
      </c>
      <c r="P371" s="745">
        <v>1.6704998466727998</v>
      </c>
      <c r="Q371" s="721">
        <v>2179</v>
      </c>
    </row>
    <row r="372" spans="1:17" ht="14.45" customHeight="1" x14ac:dyDescent="0.2">
      <c r="A372" s="715" t="s">
        <v>4975</v>
      </c>
      <c r="B372" s="716" t="s">
        <v>4976</v>
      </c>
      <c r="C372" s="716" t="s">
        <v>3029</v>
      </c>
      <c r="D372" s="716" t="s">
        <v>5027</v>
      </c>
      <c r="E372" s="716" t="s">
        <v>5028</v>
      </c>
      <c r="F372" s="720">
        <v>2111</v>
      </c>
      <c r="G372" s="720">
        <v>371536</v>
      </c>
      <c r="H372" s="720">
        <v>1.2671068427370948</v>
      </c>
      <c r="I372" s="720">
        <v>176</v>
      </c>
      <c r="J372" s="720">
        <v>1666</v>
      </c>
      <c r="K372" s="720">
        <v>293216</v>
      </c>
      <c r="L372" s="720">
        <v>1</v>
      </c>
      <c r="M372" s="720">
        <v>176</v>
      </c>
      <c r="N372" s="720">
        <v>1227</v>
      </c>
      <c r="O372" s="720">
        <v>219633</v>
      </c>
      <c r="P372" s="745">
        <v>0.7490484830295755</v>
      </c>
      <c r="Q372" s="721">
        <v>179</v>
      </c>
    </row>
    <row r="373" spans="1:17" ht="14.45" customHeight="1" x14ac:dyDescent="0.2">
      <c r="A373" s="715" t="s">
        <v>4975</v>
      </c>
      <c r="B373" s="716" t="s">
        <v>4976</v>
      </c>
      <c r="C373" s="716" t="s">
        <v>3029</v>
      </c>
      <c r="D373" s="716" t="s">
        <v>5029</v>
      </c>
      <c r="E373" s="716" t="s">
        <v>5030</v>
      </c>
      <c r="F373" s="720">
        <v>26</v>
      </c>
      <c r="G373" s="720">
        <v>2210</v>
      </c>
      <c r="H373" s="720">
        <v>3.2122093023255816</v>
      </c>
      <c r="I373" s="720">
        <v>85</v>
      </c>
      <c r="J373" s="720">
        <v>8</v>
      </c>
      <c r="K373" s="720">
        <v>688</v>
      </c>
      <c r="L373" s="720">
        <v>1</v>
      </c>
      <c r="M373" s="720">
        <v>86</v>
      </c>
      <c r="N373" s="720">
        <v>4</v>
      </c>
      <c r="O373" s="720">
        <v>348</v>
      </c>
      <c r="P373" s="745">
        <v>0.5058139534883721</v>
      </c>
      <c r="Q373" s="721">
        <v>87</v>
      </c>
    </row>
    <row r="374" spans="1:17" ht="14.45" customHeight="1" x14ac:dyDescent="0.2">
      <c r="A374" s="715" t="s">
        <v>4975</v>
      </c>
      <c r="B374" s="716" t="s">
        <v>4976</v>
      </c>
      <c r="C374" s="716" t="s">
        <v>3029</v>
      </c>
      <c r="D374" s="716" t="s">
        <v>5031</v>
      </c>
      <c r="E374" s="716" t="s">
        <v>5032</v>
      </c>
      <c r="F374" s="720">
        <v>2</v>
      </c>
      <c r="G374" s="720">
        <v>356</v>
      </c>
      <c r="H374" s="720">
        <v>0.66294227188081933</v>
      </c>
      <c r="I374" s="720">
        <v>178</v>
      </c>
      <c r="J374" s="720">
        <v>3</v>
      </c>
      <c r="K374" s="720">
        <v>537</v>
      </c>
      <c r="L374" s="720">
        <v>1</v>
      </c>
      <c r="M374" s="720">
        <v>179</v>
      </c>
      <c r="N374" s="720">
        <v>5</v>
      </c>
      <c r="O374" s="720">
        <v>900</v>
      </c>
      <c r="P374" s="745">
        <v>1.6759776536312849</v>
      </c>
      <c r="Q374" s="721">
        <v>180</v>
      </c>
    </row>
    <row r="375" spans="1:17" ht="14.45" customHeight="1" x14ac:dyDescent="0.2">
      <c r="A375" s="715" t="s">
        <v>4975</v>
      </c>
      <c r="B375" s="716" t="s">
        <v>4976</v>
      </c>
      <c r="C375" s="716" t="s">
        <v>3029</v>
      </c>
      <c r="D375" s="716" t="s">
        <v>5033</v>
      </c>
      <c r="E375" s="716" t="s">
        <v>5034</v>
      </c>
      <c r="F375" s="720">
        <v>20</v>
      </c>
      <c r="G375" s="720">
        <v>3400</v>
      </c>
      <c r="H375" s="720">
        <v>1.1111111111111112</v>
      </c>
      <c r="I375" s="720">
        <v>170</v>
      </c>
      <c r="J375" s="720">
        <v>18</v>
      </c>
      <c r="K375" s="720">
        <v>3060</v>
      </c>
      <c r="L375" s="720">
        <v>1</v>
      </c>
      <c r="M375" s="720">
        <v>170</v>
      </c>
      <c r="N375" s="720">
        <v>19</v>
      </c>
      <c r="O375" s="720">
        <v>3268</v>
      </c>
      <c r="P375" s="745">
        <v>1.0679738562091503</v>
      </c>
      <c r="Q375" s="721">
        <v>172</v>
      </c>
    </row>
    <row r="376" spans="1:17" ht="14.45" customHeight="1" x14ac:dyDescent="0.2">
      <c r="A376" s="715" t="s">
        <v>4975</v>
      </c>
      <c r="B376" s="716" t="s">
        <v>4976</v>
      </c>
      <c r="C376" s="716" t="s">
        <v>3029</v>
      </c>
      <c r="D376" s="716" t="s">
        <v>5035</v>
      </c>
      <c r="E376" s="716" t="s">
        <v>5036</v>
      </c>
      <c r="F376" s="720"/>
      <c r="G376" s="720"/>
      <c r="H376" s="720"/>
      <c r="I376" s="720"/>
      <c r="J376" s="720">
        <v>1</v>
      </c>
      <c r="K376" s="720">
        <v>30</v>
      </c>
      <c r="L376" s="720">
        <v>1</v>
      </c>
      <c r="M376" s="720">
        <v>30</v>
      </c>
      <c r="N376" s="720">
        <v>7</v>
      </c>
      <c r="O376" s="720">
        <v>217</v>
      </c>
      <c r="P376" s="745">
        <v>7.2333333333333334</v>
      </c>
      <c r="Q376" s="721">
        <v>31</v>
      </c>
    </row>
    <row r="377" spans="1:17" ht="14.45" customHeight="1" x14ac:dyDescent="0.2">
      <c r="A377" s="715" t="s">
        <v>4975</v>
      </c>
      <c r="B377" s="716" t="s">
        <v>4976</v>
      </c>
      <c r="C377" s="716" t="s">
        <v>3029</v>
      </c>
      <c r="D377" s="716" t="s">
        <v>5037</v>
      </c>
      <c r="E377" s="716" t="s">
        <v>5038</v>
      </c>
      <c r="F377" s="720">
        <v>2</v>
      </c>
      <c r="G377" s="720">
        <v>352</v>
      </c>
      <c r="H377" s="720">
        <v>0.99435028248587576</v>
      </c>
      <c r="I377" s="720">
        <v>176</v>
      </c>
      <c r="J377" s="720">
        <v>2</v>
      </c>
      <c r="K377" s="720">
        <v>354</v>
      </c>
      <c r="L377" s="720">
        <v>1</v>
      </c>
      <c r="M377" s="720">
        <v>177</v>
      </c>
      <c r="N377" s="720">
        <v>6</v>
      </c>
      <c r="O377" s="720">
        <v>1068</v>
      </c>
      <c r="P377" s="745">
        <v>3.0169491525423728</v>
      </c>
      <c r="Q377" s="721">
        <v>178</v>
      </c>
    </row>
    <row r="378" spans="1:17" ht="14.45" customHeight="1" x14ac:dyDescent="0.2">
      <c r="A378" s="715" t="s">
        <v>4975</v>
      </c>
      <c r="B378" s="716" t="s">
        <v>4976</v>
      </c>
      <c r="C378" s="716" t="s">
        <v>3029</v>
      </c>
      <c r="D378" s="716" t="s">
        <v>5039</v>
      </c>
      <c r="E378" s="716" t="s">
        <v>5040</v>
      </c>
      <c r="F378" s="720">
        <v>9</v>
      </c>
      <c r="G378" s="720">
        <v>2376</v>
      </c>
      <c r="H378" s="720">
        <v>0.42857142857142855</v>
      </c>
      <c r="I378" s="720">
        <v>264</v>
      </c>
      <c r="J378" s="720">
        <v>21</v>
      </c>
      <c r="K378" s="720">
        <v>5544</v>
      </c>
      <c r="L378" s="720">
        <v>1</v>
      </c>
      <c r="M378" s="720">
        <v>264</v>
      </c>
      <c r="N378" s="720">
        <v>52</v>
      </c>
      <c r="O378" s="720">
        <v>13884</v>
      </c>
      <c r="P378" s="745">
        <v>2.5043290043290045</v>
      </c>
      <c r="Q378" s="721">
        <v>267</v>
      </c>
    </row>
    <row r="379" spans="1:17" ht="14.45" customHeight="1" x14ac:dyDescent="0.2">
      <c r="A379" s="715" t="s">
        <v>4975</v>
      </c>
      <c r="B379" s="716" t="s">
        <v>4976</v>
      </c>
      <c r="C379" s="716" t="s">
        <v>3029</v>
      </c>
      <c r="D379" s="716" t="s">
        <v>5041</v>
      </c>
      <c r="E379" s="716" t="s">
        <v>5042</v>
      </c>
      <c r="F379" s="720">
        <v>7</v>
      </c>
      <c r="G379" s="720">
        <v>14917</v>
      </c>
      <c r="H379" s="720">
        <v>0.49929709465791938</v>
      </c>
      <c r="I379" s="720">
        <v>2131</v>
      </c>
      <c r="J379" s="720">
        <v>14</v>
      </c>
      <c r="K379" s="720">
        <v>29876</v>
      </c>
      <c r="L379" s="720">
        <v>1</v>
      </c>
      <c r="M379" s="720">
        <v>2134</v>
      </c>
      <c r="N379" s="720">
        <v>27</v>
      </c>
      <c r="O379" s="720">
        <v>57942</v>
      </c>
      <c r="P379" s="745">
        <v>1.9394162538492434</v>
      </c>
      <c r="Q379" s="721">
        <v>2146</v>
      </c>
    </row>
    <row r="380" spans="1:17" ht="14.45" customHeight="1" x14ac:dyDescent="0.2">
      <c r="A380" s="715" t="s">
        <v>4975</v>
      </c>
      <c r="B380" s="716" t="s">
        <v>4976</v>
      </c>
      <c r="C380" s="716" t="s">
        <v>3029</v>
      </c>
      <c r="D380" s="716" t="s">
        <v>5043</v>
      </c>
      <c r="E380" s="716" t="s">
        <v>5044</v>
      </c>
      <c r="F380" s="720">
        <v>174</v>
      </c>
      <c r="G380" s="720">
        <v>42108</v>
      </c>
      <c r="H380" s="720">
        <v>0.89784430371649715</v>
      </c>
      <c r="I380" s="720">
        <v>242</v>
      </c>
      <c r="J380" s="720">
        <v>193</v>
      </c>
      <c r="K380" s="720">
        <v>46899</v>
      </c>
      <c r="L380" s="720">
        <v>1</v>
      </c>
      <c r="M380" s="720">
        <v>243</v>
      </c>
      <c r="N380" s="720">
        <v>195</v>
      </c>
      <c r="O380" s="720">
        <v>47580</v>
      </c>
      <c r="P380" s="745">
        <v>1.0145205654704792</v>
      </c>
      <c r="Q380" s="721">
        <v>244</v>
      </c>
    </row>
    <row r="381" spans="1:17" ht="14.45" customHeight="1" x14ac:dyDescent="0.2">
      <c r="A381" s="715" t="s">
        <v>4975</v>
      </c>
      <c r="B381" s="716" t="s">
        <v>4976</v>
      </c>
      <c r="C381" s="716" t="s">
        <v>3029</v>
      </c>
      <c r="D381" s="716" t="s">
        <v>5045</v>
      </c>
      <c r="E381" s="716" t="s">
        <v>5046</v>
      </c>
      <c r="F381" s="720">
        <v>16</v>
      </c>
      <c r="G381" s="720">
        <v>6784</v>
      </c>
      <c r="H381" s="720">
        <v>1.1374916163648559</v>
      </c>
      <c r="I381" s="720">
        <v>424</v>
      </c>
      <c r="J381" s="720">
        <v>14</v>
      </c>
      <c r="K381" s="720">
        <v>5964</v>
      </c>
      <c r="L381" s="720">
        <v>1</v>
      </c>
      <c r="M381" s="720">
        <v>426</v>
      </c>
      <c r="N381" s="720">
        <v>12</v>
      </c>
      <c r="O381" s="720">
        <v>5220</v>
      </c>
      <c r="P381" s="745">
        <v>0.87525150905432592</v>
      </c>
      <c r="Q381" s="721">
        <v>435</v>
      </c>
    </row>
    <row r="382" spans="1:17" ht="14.45" customHeight="1" x14ac:dyDescent="0.2">
      <c r="A382" s="715" t="s">
        <v>4975</v>
      </c>
      <c r="B382" s="716" t="s">
        <v>4976</v>
      </c>
      <c r="C382" s="716" t="s">
        <v>3029</v>
      </c>
      <c r="D382" s="716" t="s">
        <v>5047</v>
      </c>
      <c r="E382" s="716" t="s">
        <v>5048</v>
      </c>
      <c r="F382" s="720">
        <v>40</v>
      </c>
      <c r="G382" s="720">
        <v>42280</v>
      </c>
      <c r="H382" s="720">
        <v>0.99716981132075466</v>
      </c>
      <c r="I382" s="720">
        <v>1057</v>
      </c>
      <c r="J382" s="720">
        <v>40</v>
      </c>
      <c r="K382" s="720">
        <v>42400</v>
      </c>
      <c r="L382" s="720">
        <v>1</v>
      </c>
      <c r="M382" s="720">
        <v>1060</v>
      </c>
      <c r="N382" s="720">
        <v>40</v>
      </c>
      <c r="O382" s="720">
        <v>43000</v>
      </c>
      <c r="P382" s="745">
        <v>1.0141509433962264</v>
      </c>
      <c r="Q382" s="721">
        <v>1075</v>
      </c>
    </row>
    <row r="383" spans="1:17" ht="14.45" customHeight="1" x14ac:dyDescent="0.2">
      <c r="A383" s="715" t="s">
        <v>4975</v>
      </c>
      <c r="B383" s="716" t="s">
        <v>4976</v>
      </c>
      <c r="C383" s="716" t="s">
        <v>3029</v>
      </c>
      <c r="D383" s="716" t="s">
        <v>5049</v>
      </c>
      <c r="E383" s="716" t="s">
        <v>5050</v>
      </c>
      <c r="F383" s="720">
        <v>1</v>
      </c>
      <c r="G383" s="720">
        <v>289</v>
      </c>
      <c r="H383" s="720">
        <v>0.2</v>
      </c>
      <c r="I383" s="720">
        <v>289</v>
      </c>
      <c r="J383" s="720">
        <v>5</v>
      </c>
      <c r="K383" s="720">
        <v>1445</v>
      </c>
      <c r="L383" s="720">
        <v>1</v>
      </c>
      <c r="M383" s="720">
        <v>289</v>
      </c>
      <c r="N383" s="720">
        <v>12</v>
      </c>
      <c r="O383" s="720">
        <v>3492</v>
      </c>
      <c r="P383" s="745">
        <v>2.4166089965397926</v>
      </c>
      <c r="Q383" s="721">
        <v>291</v>
      </c>
    </row>
    <row r="384" spans="1:17" ht="14.45" customHeight="1" x14ac:dyDescent="0.2">
      <c r="A384" s="715" t="s">
        <v>4975</v>
      </c>
      <c r="B384" s="716" t="s">
        <v>4976</v>
      </c>
      <c r="C384" s="716" t="s">
        <v>3029</v>
      </c>
      <c r="D384" s="716" t="s">
        <v>5051</v>
      </c>
      <c r="E384" s="716" t="s">
        <v>5052</v>
      </c>
      <c r="F384" s="720"/>
      <c r="G384" s="720"/>
      <c r="H384" s="720"/>
      <c r="I384" s="720"/>
      <c r="J384" s="720">
        <v>4</v>
      </c>
      <c r="K384" s="720">
        <v>0</v>
      </c>
      <c r="L384" s="720"/>
      <c r="M384" s="720">
        <v>0</v>
      </c>
      <c r="N384" s="720">
        <v>10</v>
      </c>
      <c r="O384" s="720">
        <v>0</v>
      </c>
      <c r="P384" s="745"/>
      <c r="Q384" s="721">
        <v>0</v>
      </c>
    </row>
    <row r="385" spans="1:17" ht="14.45" customHeight="1" x14ac:dyDescent="0.2">
      <c r="A385" s="715" t="s">
        <v>4975</v>
      </c>
      <c r="B385" s="716" t="s">
        <v>4976</v>
      </c>
      <c r="C385" s="716" t="s">
        <v>3029</v>
      </c>
      <c r="D385" s="716" t="s">
        <v>5053</v>
      </c>
      <c r="E385" s="716" t="s">
        <v>5054</v>
      </c>
      <c r="F385" s="720"/>
      <c r="G385" s="720"/>
      <c r="H385" s="720"/>
      <c r="I385" s="720"/>
      <c r="J385" s="720">
        <v>4</v>
      </c>
      <c r="K385" s="720">
        <v>19116</v>
      </c>
      <c r="L385" s="720">
        <v>1</v>
      </c>
      <c r="M385" s="720">
        <v>4779</v>
      </c>
      <c r="N385" s="720"/>
      <c r="O385" s="720"/>
      <c r="P385" s="745"/>
      <c r="Q385" s="721"/>
    </row>
    <row r="386" spans="1:17" ht="14.45" customHeight="1" x14ac:dyDescent="0.2">
      <c r="A386" s="715" t="s">
        <v>4975</v>
      </c>
      <c r="B386" s="716" t="s">
        <v>4976</v>
      </c>
      <c r="C386" s="716" t="s">
        <v>3029</v>
      </c>
      <c r="D386" s="716" t="s">
        <v>5055</v>
      </c>
      <c r="E386" s="716" t="s">
        <v>5056</v>
      </c>
      <c r="F386" s="720"/>
      <c r="G386" s="720"/>
      <c r="H386" s="720"/>
      <c r="I386" s="720"/>
      <c r="J386" s="720">
        <v>1</v>
      </c>
      <c r="K386" s="720">
        <v>609</v>
      </c>
      <c r="L386" s="720">
        <v>1</v>
      </c>
      <c r="M386" s="720">
        <v>609</v>
      </c>
      <c r="N386" s="720">
        <v>4</v>
      </c>
      <c r="O386" s="720">
        <v>2448</v>
      </c>
      <c r="P386" s="745">
        <v>4.0197044334975374</v>
      </c>
      <c r="Q386" s="721">
        <v>612</v>
      </c>
    </row>
    <row r="387" spans="1:17" ht="14.45" customHeight="1" x14ac:dyDescent="0.2">
      <c r="A387" s="715" t="s">
        <v>4975</v>
      </c>
      <c r="B387" s="716" t="s">
        <v>4976</v>
      </c>
      <c r="C387" s="716" t="s">
        <v>3029</v>
      </c>
      <c r="D387" s="716" t="s">
        <v>5057</v>
      </c>
      <c r="E387" s="716" t="s">
        <v>5058</v>
      </c>
      <c r="F387" s="720"/>
      <c r="G387" s="720"/>
      <c r="H387" s="720"/>
      <c r="I387" s="720"/>
      <c r="J387" s="720">
        <v>1</v>
      </c>
      <c r="K387" s="720">
        <v>2840</v>
      </c>
      <c r="L387" s="720">
        <v>1</v>
      </c>
      <c r="M387" s="720">
        <v>2840</v>
      </c>
      <c r="N387" s="720">
        <v>6</v>
      </c>
      <c r="O387" s="720">
        <v>17070</v>
      </c>
      <c r="P387" s="745">
        <v>6.01056338028169</v>
      </c>
      <c r="Q387" s="721">
        <v>2845</v>
      </c>
    </row>
    <row r="388" spans="1:17" ht="14.45" customHeight="1" x14ac:dyDescent="0.2">
      <c r="A388" s="715" t="s">
        <v>4975</v>
      </c>
      <c r="B388" s="716" t="s">
        <v>4976</v>
      </c>
      <c r="C388" s="716" t="s">
        <v>3029</v>
      </c>
      <c r="D388" s="716" t="s">
        <v>5059</v>
      </c>
      <c r="E388" s="716" t="s">
        <v>5060</v>
      </c>
      <c r="F388" s="720"/>
      <c r="G388" s="720"/>
      <c r="H388" s="720"/>
      <c r="I388" s="720"/>
      <c r="J388" s="720"/>
      <c r="K388" s="720"/>
      <c r="L388" s="720"/>
      <c r="M388" s="720"/>
      <c r="N388" s="720">
        <v>4</v>
      </c>
      <c r="O388" s="720">
        <v>15356</v>
      </c>
      <c r="P388" s="745"/>
      <c r="Q388" s="721">
        <v>3839</v>
      </c>
    </row>
    <row r="389" spans="1:17" ht="14.45" customHeight="1" x14ac:dyDescent="0.2">
      <c r="A389" s="715" t="s">
        <v>5061</v>
      </c>
      <c r="B389" s="716" t="s">
        <v>5062</v>
      </c>
      <c r="C389" s="716" t="s">
        <v>3029</v>
      </c>
      <c r="D389" s="716" t="s">
        <v>5063</v>
      </c>
      <c r="E389" s="716" t="s">
        <v>5064</v>
      </c>
      <c r="F389" s="720">
        <v>2238</v>
      </c>
      <c r="G389" s="720">
        <v>387174</v>
      </c>
      <c r="H389" s="720">
        <v>0.90636982934194821</v>
      </c>
      <c r="I389" s="720">
        <v>173</v>
      </c>
      <c r="J389" s="720">
        <v>2455</v>
      </c>
      <c r="K389" s="720">
        <v>427170</v>
      </c>
      <c r="L389" s="720">
        <v>1</v>
      </c>
      <c r="M389" s="720">
        <v>174</v>
      </c>
      <c r="N389" s="720">
        <v>2389</v>
      </c>
      <c r="O389" s="720">
        <v>418075</v>
      </c>
      <c r="P389" s="745">
        <v>0.97870871081770727</v>
      </c>
      <c r="Q389" s="721">
        <v>175</v>
      </c>
    </row>
    <row r="390" spans="1:17" ht="14.45" customHeight="1" x14ac:dyDescent="0.2">
      <c r="A390" s="715" t="s">
        <v>5061</v>
      </c>
      <c r="B390" s="716" t="s">
        <v>5062</v>
      </c>
      <c r="C390" s="716" t="s">
        <v>3029</v>
      </c>
      <c r="D390" s="716" t="s">
        <v>5065</v>
      </c>
      <c r="E390" s="716" t="s">
        <v>5066</v>
      </c>
      <c r="F390" s="720">
        <v>22</v>
      </c>
      <c r="G390" s="720">
        <v>23540</v>
      </c>
      <c r="H390" s="720">
        <v>22</v>
      </c>
      <c r="I390" s="720">
        <v>1070</v>
      </c>
      <c r="J390" s="720">
        <v>1</v>
      </c>
      <c r="K390" s="720">
        <v>1070</v>
      </c>
      <c r="L390" s="720">
        <v>1</v>
      </c>
      <c r="M390" s="720">
        <v>1070</v>
      </c>
      <c r="N390" s="720">
        <v>7</v>
      </c>
      <c r="O390" s="720">
        <v>7511</v>
      </c>
      <c r="P390" s="745">
        <v>7.0196261682242991</v>
      </c>
      <c r="Q390" s="721">
        <v>1073</v>
      </c>
    </row>
    <row r="391" spans="1:17" ht="14.45" customHeight="1" x14ac:dyDescent="0.2">
      <c r="A391" s="715" t="s">
        <v>5061</v>
      </c>
      <c r="B391" s="716" t="s">
        <v>5062</v>
      </c>
      <c r="C391" s="716" t="s">
        <v>3029</v>
      </c>
      <c r="D391" s="716" t="s">
        <v>5067</v>
      </c>
      <c r="E391" s="716" t="s">
        <v>5068</v>
      </c>
      <c r="F391" s="720">
        <v>157</v>
      </c>
      <c r="G391" s="720">
        <v>7222</v>
      </c>
      <c r="H391" s="720">
        <v>1.3418803418803418</v>
      </c>
      <c r="I391" s="720">
        <v>46</v>
      </c>
      <c r="J391" s="720">
        <v>117</v>
      </c>
      <c r="K391" s="720">
        <v>5382</v>
      </c>
      <c r="L391" s="720">
        <v>1</v>
      </c>
      <c r="M391" s="720">
        <v>46</v>
      </c>
      <c r="N391" s="720">
        <v>120</v>
      </c>
      <c r="O391" s="720">
        <v>5640</v>
      </c>
      <c r="P391" s="745">
        <v>1.0479375696767002</v>
      </c>
      <c r="Q391" s="721">
        <v>47</v>
      </c>
    </row>
    <row r="392" spans="1:17" ht="14.45" customHeight="1" x14ac:dyDescent="0.2">
      <c r="A392" s="715" t="s">
        <v>5061</v>
      </c>
      <c r="B392" s="716" t="s">
        <v>5062</v>
      </c>
      <c r="C392" s="716" t="s">
        <v>3029</v>
      </c>
      <c r="D392" s="716" t="s">
        <v>4949</v>
      </c>
      <c r="E392" s="716" t="s">
        <v>4950</v>
      </c>
      <c r="F392" s="720">
        <v>51</v>
      </c>
      <c r="G392" s="720">
        <v>17697</v>
      </c>
      <c r="H392" s="720">
        <v>1.3076923076923077</v>
      </c>
      <c r="I392" s="720">
        <v>347</v>
      </c>
      <c r="J392" s="720">
        <v>39</v>
      </c>
      <c r="K392" s="720">
        <v>13533</v>
      </c>
      <c r="L392" s="720">
        <v>1</v>
      </c>
      <c r="M392" s="720">
        <v>347</v>
      </c>
      <c r="N392" s="720">
        <v>35</v>
      </c>
      <c r="O392" s="720">
        <v>12180</v>
      </c>
      <c r="P392" s="745">
        <v>0.90002216803369539</v>
      </c>
      <c r="Q392" s="721">
        <v>348</v>
      </c>
    </row>
    <row r="393" spans="1:17" ht="14.45" customHeight="1" x14ac:dyDescent="0.2">
      <c r="A393" s="715" t="s">
        <v>5061</v>
      </c>
      <c r="B393" s="716" t="s">
        <v>5062</v>
      </c>
      <c r="C393" s="716" t="s">
        <v>3029</v>
      </c>
      <c r="D393" s="716" t="s">
        <v>5069</v>
      </c>
      <c r="E393" s="716" t="s">
        <v>5070</v>
      </c>
      <c r="F393" s="720">
        <v>34</v>
      </c>
      <c r="G393" s="720">
        <v>1734</v>
      </c>
      <c r="H393" s="720">
        <v>3.4</v>
      </c>
      <c r="I393" s="720">
        <v>51</v>
      </c>
      <c r="J393" s="720">
        <v>10</v>
      </c>
      <c r="K393" s="720">
        <v>510</v>
      </c>
      <c r="L393" s="720">
        <v>1</v>
      </c>
      <c r="M393" s="720">
        <v>51</v>
      </c>
      <c r="N393" s="720">
        <v>18</v>
      </c>
      <c r="O393" s="720">
        <v>918</v>
      </c>
      <c r="P393" s="745">
        <v>1.8</v>
      </c>
      <c r="Q393" s="721">
        <v>51</v>
      </c>
    </row>
    <row r="394" spans="1:17" ht="14.45" customHeight="1" x14ac:dyDescent="0.2">
      <c r="A394" s="715" t="s">
        <v>5061</v>
      </c>
      <c r="B394" s="716" t="s">
        <v>5062</v>
      </c>
      <c r="C394" s="716" t="s">
        <v>3029</v>
      </c>
      <c r="D394" s="716" t="s">
        <v>5071</v>
      </c>
      <c r="E394" s="716" t="s">
        <v>5072</v>
      </c>
      <c r="F394" s="720">
        <v>73</v>
      </c>
      <c r="G394" s="720">
        <v>27521</v>
      </c>
      <c r="H394" s="720">
        <v>0.97333333333333338</v>
      </c>
      <c r="I394" s="720">
        <v>377</v>
      </c>
      <c r="J394" s="720">
        <v>75</v>
      </c>
      <c r="K394" s="720">
        <v>28275</v>
      </c>
      <c r="L394" s="720">
        <v>1</v>
      </c>
      <c r="M394" s="720">
        <v>377</v>
      </c>
      <c r="N394" s="720">
        <v>78</v>
      </c>
      <c r="O394" s="720">
        <v>29484</v>
      </c>
      <c r="P394" s="745">
        <v>1.0427586206896551</v>
      </c>
      <c r="Q394" s="721">
        <v>378</v>
      </c>
    </row>
    <row r="395" spans="1:17" ht="14.45" customHeight="1" x14ac:dyDescent="0.2">
      <c r="A395" s="715" t="s">
        <v>5061</v>
      </c>
      <c r="B395" s="716" t="s">
        <v>5062</v>
      </c>
      <c r="C395" s="716" t="s">
        <v>3029</v>
      </c>
      <c r="D395" s="716" t="s">
        <v>5073</v>
      </c>
      <c r="E395" s="716" t="s">
        <v>5074</v>
      </c>
      <c r="F395" s="720">
        <v>1</v>
      </c>
      <c r="G395" s="720">
        <v>34</v>
      </c>
      <c r="H395" s="720">
        <v>0.2</v>
      </c>
      <c r="I395" s="720">
        <v>34</v>
      </c>
      <c r="J395" s="720">
        <v>5</v>
      </c>
      <c r="K395" s="720">
        <v>170</v>
      </c>
      <c r="L395" s="720">
        <v>1</v>
      </c>
      <c r="M395" s="720">
        <v>34</v>
      </c>
      <c r="N395" s="720">
        <v>4</v>
      </c>
      <c r="O395" s="720">
        <v>136</v>
      </c>
      <c r="P395" s="745">
        <v>0.8</v>
      </c>
      <c r="Q395" s="721">
        <v>34</v>
      </c>
    </row>
    <row r="396" spans="1:17" ht="14.45" customHeight="1" x14ac:dyDescent="0.2">
      <c r="A396" s="715" t="s">
        <v>5061</v>
      </c>
      <c r="B396" s="716" t="s">
        <v>5062</v>
      </c>
      <c r="C396" s="716" t="s">
        <v>3029</v>
      </c>
      <c r="D396" s="716" t="s">
        <v>5075</v>
      </c>
      <c r="E396" s="716" t="s">
        <v>5076</v>
      </c>
      <c r="F396" s="720">
        <v>35</v>
      </c>
      <c r="G396" s="720">
        <v>18340</v>
      </c>
      <c r="H396" s="720">
        <v>5.833333333333333</v>
      </c>
      <c r="I396" s="720">
        <v>524</v>
      </c>
      <c r="J396" s="720">
        <v>6</v>
      </c>
      <c r="K396" s="720">
        <v>3144</v>
      </c>
      <c r="L396" s="720">
        <v>1</v>
      </c>
      <c r="M396" s="720">
        <v>524</v>
      </c>
      <c r="N396" s="720">
        <v>44</v>
      </c>
      <c r="O396" s="720">
        <v>23100</v>
      </c>
      <c r="P396" s="745">
        <v>7.3473282442748094</v>
      </c>
      <c r="Q396" s="721">
        <v>525</v>
      </c>
    </row>
    <row r="397" spans="1:17" ht="14.45" customHeight="1" x14ac:dyDescent="0.2">
      <c r="A397" s="715" t="s">
        <v>5061</v>
      </c>
      <c r="B397" s="716" t="s">
        <v>5062</v>
      </c>
      <c r="C397" s="716" t="s">
        <v>3029</v>
      </c>
      <c r="D397" s="716" t="s">
        <v>5077</v>
      </c>
      <c r="E397" s="716" t="s">
        <v>5078</v>
      </c>
      <c r="F397" s="720">
        <v>31</v>
      </c>
      <c r="G397" s="720">
        <v>1767</v>
      </c>
      <c r="H397" s="720">
        <v>1.3406676783004552</v>
      </c>
      <c r="I397" s="720">
        <v>57</v>
      </c>
      <c r="J397" s="720">
        <v>23</v>
      </c>
      <c r="K397" s="720">
        <v>1318</v>
      </c>
      <c r="L397" s="720">
        <v>1</v>
      </c>
      <c r="M397" s="720">
        <v>57.304347826086953</v>
      </c>
      <c r="N397" s="720">
        <v>18</v>
      </c>
      <c r="O397" s="720">
        <v>1044</v>
      </c>
      <c r="P397" s="745">
        <v>0.79210925644916541</v>
      </c>
      <c r="Q397" s="721">
        <v>58</v>
      </c>
    </row>
    <row r="398" spans="1:17" ht="14.45" customHeight="1" x14ac:dyDescent="0.2">
      <c r="A398" s="715" t="s">
        <v>5061</v>
      </c>
      <c r="B398" s="716" t="s">
        <v>5062</v>
      </c>
      <c r="C398" s="716" t="s">
        <v>3029</v>
      </c>
      <c r="D398" s="716" t="s">
        <v>5079</v>
      </c>
      <c r="E398" s="716" t="s">
        <v>5080</v>
      </c>
      <c r="F398" s="720">
        <v>4</v>
      </c>
      <c r="G398" s="720">
        <v>896</v>
      </c>
      <c r="H398" s="720">
        <v>1.3274074074074074</v>
      </c>
      <c r="I398" s="720">
        <v>224</v>
      </c>
      <c r="J398" s="720">
        <v>3</v>
      </c>
      <c r="K398" s="720">
        <v>675</v>
      </c>
      <c r="L398" s="720">
        <v>1</v>
      </c>
      <c r="M398" s="720">
        <v>225</v>
      </c>
      <c r="N398" s="720">
        <v>11</v>
      </c>
      <c r="O398" s="720">
        <v>2486</v>
      </c>
      <c r="P398" s="745">
        <v>3.682962962962963</v>
      </c>
      <c r="Q398" s="721">
        <v>226</v>
      </c>
    </row>
    <row r="399" spans="1:17" ht="14.45" customHeight="1" x14ac:dyDescent="0.2">
      <c r="A399" s="715" t="s">
        <v>5061</v>
      </c>
      <c r="B399" s="716" t="s">
        <v>5062</v>
      </c>
      <c r="C399" s="716" t="s">
        <v>3029</v>
      </c>
      <c r="D399" s="716" t="s">
        <v>5081</v>
      </c>
      <c r="E399" s="716" t="s">
        <v>5082</v>
      </c>
      <c r="F399" s="720">
        <v>4</v>
      </c>
      <c r="G399" s="720">
        <v>2212</v>
      </c>
      <c r="H399" s="720">
        <v>1.3309265944645006</v>
      </c>
      <c r="I399" s="720">
        <v>553</v>
      </c>
      <c r="J399" s="720">
        <v>3</v>
      </c>
      <c r="K399" s="720">
        <v>1662</v>
      </c>
      <c r="L399" s="720">
        <v>1</v>
      </c>
      <c r="M399" s="720">
        <v>554</v>
      </c>
      <c r="N399" s="720">
        <v>11</v>
      </c>
      <c r="O399" s="720">
        <v>6105</v>
      </c>
      <c r="P399" s="745">
        <v>3.6732851985559565</v>
      </c>
      <c r="Q399" s="721">
        <v>555</v>
      </c>
    </row>
    <row r="400" spans="1:17" ht="14.45" customHeight="1" x14ac:dyDescent="0.2">
      <c r="A400" s="715" t="s">
        <v>5061</v>
      </c>
      <c r="B400" s="716" t="s">
        <v>5062</v>
      </c>
      <c r="C400" s="716" t="s">
        <v>3029</v>
      </c>
      <c r="D400" s="716" t="s">
        <v>5083</v>
      </c>
      <c r="E400" s="716" t="s">
        <v>5084</v>
      </c>
      <c r="F400" s="720"/>
      <c r="G400" s="720"/>
      <c r="H400" s="720"/>
      <c r="I400" s="720"/>
      <c r="J400" s="720"/>
      <c r="K400" s="720"/>
      <c r="L400" s="720"/>
      <c r="M400" s="720"/>
      <c r="N400" s="720">
        <v>2</v>
      </c>
      <c r="O400" s="720">
        <v>286</v>
      </c>
      <c r="P400" s="745"/>
      <c r="Q400" s="721">
        <v>143</v>
      </c>
    </row>
    <row r="401" spans="1:17" ht="14.45" customHeight="1" x14ac:dyDescent="0.2">
      <c r="A401" s="715" t="s">
        <v>5061</v>
      </c>
      <c r="B401" s="716" t="s">
        <v>5062</v>
      </c>
      <c r="C401" s="716" t="s">
        <v>3029</v>
      </c>
      <c r="D401" s="716" t="s">
        <v>5085</v>
      </c>
      <c r="E401" s="716" t="s">
        <v>5086</v>
      </c>
      <c r="F401" s="720">
        <v>8</v>
      </c>
      <c r="G401" s="720">
        <v>1144</v>
      </c>
      <c r="H401" s="720">
        <v>1</v>
      </c>
      <c r="I401" s="720">
        <v>143</v>
      </c>
      <c r="J401" s="720">
        <v>8</v>
      </c>
      <c r="K401" s="720">
        <v>1144</v>
      </c>
      <c r="L401" s="720">
        <v>1</v>
      </c>
      <c r="M401" s="720">
        <v>143</v>
      </c>
      <c r="N401" s="720">
        <v>4</v>
      </c>
      <c r="O401" s="720">
        <v>576</v>
      </c>
      <c r="P401" s="745">
        <v>0.50349650349650354</v>
      </c>
      <c r="Q401" s="721">
        <v>144</v>
      </c>
    </row>
    <row r="402" spans="1:17" ht="14.45" customHeight="1" x14ac:dyDescent="0.2">
      <c r="A402" s="715" t="s">
        <v>5061</v>
      </c>
      <c r="B402" s="716" t="s">
        <v>5062</v>
      </c>
      <c r="C402" s="716" t="s">
        <v>3029</v>
      </c>
      <c r="D402" s="716" t="s">
        <v>5087</v>
      </c>
      <c r="E402" s="716" t="s">
        <v>5088</v>
      </c>
      <c r="F402" s="720">
        <v>46</v>
      </c>
      <c r="G402" s="720">
        <v>2990</v>
      </c>
      <c r="H402" s="720">
        <v>1.6428571428571428</v>
      </c>
      <c r="I402" s="720">
        <v>65</v>
      </c>
      <c r="J402" s="720">
        <v>28</v>
      </c>
      <c r="K402" s="720">
        <v>1820</v>
      </c>
      <c r="L402" s="720">
        <v>1</v>
      </c>
      <c r="M402" s="720">
        <v>65</v>
      </c>
      <c r="N402" s="720">
        <v>10</v>
      </c>
      <c r="O402" s="720">
        <v>660</v>
      </c>
      <c r="P402" s="745">
        <v>0.36263736263736263</v>
      </c>
      <c r="Q402" s="721">
        <v>66</v>
      </c>
    </row>
    <row r="403" spans="1:17" ht="14.45" customHeight="1" x14ac:dyDescent="0.2">
      <c r="A403" s="715" t="s">
        <v>5061</v>
      </c>
      <c r="B403" s="716" t="s">
        <v>5062</v>
      </c>
      <c r="C403" s="716" t="s">
        <v>3029</v>
      </c>
      <c r="D403" s="716" t="s">
        <v>5089</v>
      </c>
      <c r="E403" s="716" t="s">
        <v>5090</v>
      </c>
      <c r="F403" s="720">
        <v>1799</v>
      </c>
      <c r="G403" s="720">
        <v>244664</v>
      </c>
      <c r="H403" s="720">
        <v>0.88646697995282586</v>
      </c>
      <c r="I403" s="720">
        <v>136</v>
      </c>
      <c r="J403" s="720">
        <v>2020</v>
      </c>
      <c r="K403" s="720">
        <v>275999</v>
      </c>
      <c r="L403" s="720">
        <v>1</v>
      </c>
      <c r="M403" s="720">
        <v>136.63316831683167</v>
      </c>
      <c r="N403" s="720">
        <v>1999</v>
      </c>
      <c r="O403" s="720">
        <v>275862</v>
      </c>
      <c r="P403" s="745">
        <v>0.99950362138993254</v>
      </c>
      <c r="Q403" s="721">
        <v>138</v>
      </c>
    </row>
    <row r="404" spans="1:17" ht="14.45" customHeight="1" x14ac:dyDescent="0.2">
      <c r="A404" s="715" t="s">
        <v>5061</v>
      </c>
      <c r="B404" s="716" t="s">
        <v>5062</v>
      </c>
      <c r="C404" s="716" t="s">
        <v>3029</v>
      </c>
      <c r="D404" s="716" t="s">
        <v>5091</v>
      </c>
      <c r="E404" s="716" t="s">
        <v>5092</v>
      </c>
      <c r="F404" s="720">
        <v>984</v>
      </c>
      <c r="G404" s="720">
        <v>89544</v>
      </c>
      <c r="H404" s="720">
        <v>0.96281800391389427</v>
      </c>
      <c r="I404" s="720">
        <v>91</v>
      </c>
      <c r="J404" s="720">
        <v>1022</v>
      </c>
      <c r="K404" s="720">
        <v>93002</v>
      </c>
      <c r="L404" s="720">
        <v>1</v>
      </c>
      <c r="M404" s="720">
        <v>91</v>
      </c>
      <c r="N404" s="720">
        <v>878</v>
      </c>
      <c r="O404" s="720">
        <v>80776</v>
      </c>
      <c r="P404" s="745">
        <v>0.86854046149545172</v>
      </c>
      <c r="Q404" s="721">
        <v>92</v>
      </c>
    </row>
    <row r="405" spans="1:17" ht="14.45" customHeight="1" x14ac:dyDescent="0.2">
      <c r="A405" s="715" t="s">
        <v>5061</v>
      </c>
      <c r="B405" s="716" t="s">
        <v>5062</v>
      </c>
      <c r="C405" s="716" t="s">
        <v>3029</v>
      </c>
      <c r="D405" s="716" t="s">
        <v>5093</v>
      </c>
      <c r="E405" s="716" t="s">
        <v>5094</v>
      </c>
      <c r="F405" s="720">
        <v>7</v>
      </c>
      <c r="G405" s="720">
        <v>959</v>
      </c>
      <c r="H405" s="720">
        <v>0.69241877256317685</v>
      </c>
      <c r="I405" s="720">
        <v>137</v>
      </c>
      <c r="J405" s="720">
        <v>10</v>
      </c>
      <c r="K405" s="720">
        <v>1385</v>
      </c>
      <c r="L405" s="720">
        <v>1</v>
      </c>
      <c r="M405" s="720">
        <v>138.5</v>
      </c>
      <c r="N405" s="720">
        <v>6</v>
      </c>
      <c r="O405" s="720">
        <v>840</v>
      </c>
      <c r="P405" s="745">
        <v>0.60649819494584833</v>
      </c>
      <c r="Q405" s="721">
        <v>140</v>
      </c>
    </row>
    <row r="406" spans="1:17" ht="14.45" customHeight="1" x14ac:dyDescent="0.2">
      <c r="A406" s="715" t="s">
        <v>5061</v>
      </c>
      <c r="B406" s="716" t="s">
        <v>5062</v>
      </c>
      <c r="C406" s="716" t="s">
        <v>3029</v>
      </c>
      <c r="D406" s="716" t="s">
        <v>5095</v>
      </c>
      <c r="E406" s="716" t="s">
        <v>5096</v>
      </c>
      <c r="F406" s="720">
        <v>140</v>
      </c>
      <c r="G406" s="720">
        <v>9240</v>
      </c>
      <c r="H406" s="720">
        <v>0.80691642651296835</v>
      </c>
      <c r="I406" s="720">
        <v>66</v>
      </c>
      <c r="J406" s="720">
        <v>172</v>
      </c>
      <c r="K406" s="720">
        <v>11451</v>
      </c>
      <c r="L406" s="720">
        <v>1</v>
      </c>
      <c r="M406" s="720">
        <v>66.575581395348834</v>
      </c>
      <c r="N406" s="720">
        <v>140</v>
      </c>
      <c r="O406" s="720">
        <v>9380</v>
      </c>
      <c r="P406" s="745">
        <v>0.81914243297528599</v>
      </c>
      <c r="Q406" s="721">
        <v>67</v>
      </c>
    </row>
    <row r="407" spans="1:17" ht="14.45" customHeight="1" x14ac:dyDescent="0.2">
      <c r="A407" s="715" t="s">
        <v>5061</v>
      </c>
      <c r="B407" s="716" t="s">
        <v>5062</v>
      </c>
      <c r="C407" s="716" t="s">
        <v>3029</v>
      </c>
      <c r="D407" s="716" t="s">
        <v>4958</v>
      </c>
      <c r="E407" s="716" t="s">
        <v>4959</v>
      </c>
      <c r="F407" s="720">
        <v>109</v>
      </c>
      <c r="G407" s="720">
        <v>35752</v>
      </c>
      <c r="H407" s="720">
        <v>1.2976190476190477</v>
      </c>
      <c r="I407" s="720">
        <v>328</v>
      </c>
      <c r="J407" s="720">
        <v>84</v>
      </c>
      <c r="K407" s="720">
        <v>27552</v>
      </c>
      <c r="L407" s="720">
        <v>1</v>
      </c>
      <c r="M407" s="720">
        <v>328</v>
      </c>
      <c r="N407" s="720">
        <v>75</v>
      </c>
      <c r="O407" s="720">
        <v>24675</v>
      </c>
      <c r="P407" s="745">
        <v>0.89557926829268297</v>
      </c>
      <c r="Q407" s="721">
        <v>329</v>
      </c>
    </row>
    <row r="408" spans="1:17" ht="14.45" customHeight="1" x14ac:dyDescent="0.2">
      <c r="A408" s="715" t="s">
        <v>5061</v>
      </c>
      <c r="B408" s="716" t="s">
        <v>5062</v>
      </c>
      <c r="C408" s="716" t="s">
        <v>3029</v>
      </c>
      <c r="D408" s="716" t="s">
        <v>5097</v>
      </c>
      <c r="E408" s="716" t="s">
        <v>5098</v>
      </c>
      <c r="F408" s="720">
        <v>175</v>
      </c>
      <c r="G408" s="720">
        <v>8925</v>
      </c>
      <c r="H408" s="720">
        <v>0.88383838383838387</v>
      </c>
      <c r="I408" s="720">
        <v>51</v>
      </c>
      <c r="J408" s="720">
        <v>198</v>
      </c>
      <c r="K408" s="720">
        <v>10098</v>
      </c>
      <c r="L408" s="720">
        <v>1</v>
      </c>
      <c r="M408" s="720">
        <v>51</v>
      </c>
      <c r="N408" s="720">
        <v>139</v>
      </c>
      <c r="O408" s="720">
        <v>7228</v>
      </c>
      <c r="P408" s="745">
        <v>0.71578530402059815</v>
      </c>
      <c r="Q408" s="721">
        <v>52</v>
      </c>
    </row>
    <row r="409" spans="1:17" ht="14.45" customHeight="1" x14ac:dyDescent="0.2">
      <c r="A409" s="715" t="s">
        <v>5061</v>
      </c>
      <c r="B409" s="716" t="s">
        <v>5062</v>
      </c>
      <c r="C409" s="716" t="s">
        <v>3029</v>
      </c>
      <c r="D409" s="716" t="s">
        <v>5099</v>
      </c>
      <c r="E409" s="716" t="s">
        <v>5100</v>
      </c>
      <c r="F409" s="720">
        <v>6</v>
      </c>
      <c r="G409" s="720">
        <v>1242</v>
      </c>
      <c r="H409" s="720">
        <v>0.75</v>
      </c>
      <c r="I409" s="720">
        <v>207</v>
      </c>
      <c r="J409" s="720">
        <v>8</v>
      </c>
      <c r="K409" s="720">
        <v>1656</v>
      </c>
      <c r="L409" s="720">
        <v>1</v>
      </c>
      <c r="M409" s="720">
        <v>207</v>
      </c>
      <c r="N409" s="720">
        <v>4</v>
      </c>
      <c r="O409" s="720">
        <v>836</v>
      </c>
      <c r="P409" s="745">
        <v>0.50483091787439616</v>
      </c>
      <c r="Q409" s="721">
        <v>209</v>
      </c>
    </row>
    <row r="410" spans="1:17" ht="14.45" customHeight="1" x14ac:dyDescent="0.2">
      <c r="A410" s="715" t="s">
        <v>5061</v>
      </c>
      <c r="B410" s="716" t="s">
        <v>5062</v>
      </c>
      <c r="C410" s="716" t="s">
        <v>3029</v>
      </c>
      <c r="D410" s="716" t="s">
        <v>5101</v>
      </c>
      <c r="E410" s="716" t="s">
        <v>5102</v>
      </c>
      <c r="F410" s="720">
        <v>31</v>
      </c>
      <c r="G410" s="720">
        <v>18972</v>
      </c>
      <c r="H410" s="720">
        <v>3.4444444444444446</v>
      </c>
      <c r="I410" s="720">
        <v>612</v>
      </c>
      <c r="J410" s="720">
        <v>9</v>
      </c>
      <c r="K410" s="720">
        <v>5508</v>
      </c>
      <c r="L410" s="720">
        <v>1</v>
      </c>
      <c r="M410" s="720">
        <v>612</v>
      </c>
      <c r="N410" s="720">
        <v>54</v>
      </c>
      <c r="O410" s="720">
        <v>33210</v>
      </c>
      <c r="P410" s="745">
        <v>6.0294117647058822</v>
      </c>
      <c r="Q410" s="721">
        <v>615</v>
      </c>
    </row>
    <row r="411" spans="1:17" ht="14.45" customHeight="1" x14ac:dyDescent="0.2">
      <c r="A411" s="715" t="s">
        <v>5061</v>
      </c>
      <c r="B411" s="716" t="s">
        <v>5062</v>
      </c>
      <c r="C411" s="716" t="s">
        <v>3029</v>
      </c>
      <c r="D411" s="716" t="s">
        <v>5103</v>
      </c>
      <c r="E411" s="716" t="s">
        <v>5104</v>
      </c>
      <c r="F411" s="720"/>
      <c r="G411" s="720"/>
      <c r="H411" s="720"/>
      <c r="I411" s="720"/>
      <c r="J411" s="720"/>
      <c r="K411" s="720"/>
      <c r="L411" s="720"/>
      <c r="M411" s="720"/>
      <c r="N411" s="720">
        <v>2</v>
      </c>
      <c r="O411" s="720">
        <v>3582</v>
      </c>
      <c r="P411" s="745"/>
      <c r="Q411" s="721">
        <v>1791</v>
      </c>
    </row>
    <row r="412" spans="1:17" ht="14.45" customHeight="1" x14ac:dyDescent="0.2">
      <c r="A412" s="715" t="s">
        <v>5061</v>
      </c>
      <c r="B412" s="716" t="s">
        <v>5062</v>
      </c>
      <c r="C412" s="716" t="s">
        <v>3029</v>
      </c>
      <c r="D412" s="716" t="s">
        <v>5105</v>
      </c>
      <c r="E412" s="716" t="s">
        <v>5106</v>
      </c>
      <c r="F412" s="720"/>
      <c r="G412" s="720"/>
      <c r="H412" s="720"/>
      <c r="I412" s="720"/>
      <c r="J412" s="720"/>
      <c r="K412" s="720"/>
      <c r="L412" s="720"/>
      <c r="M412" s="720"/>
      <c r="N412" s="720">
        <v>2</v>
      </c>
      <c r="O412" s="720">
        <v>94</v>
      </c>
      <c r="P412" s="745"/>
      <c r="Q412" s="721">
        <v>47</v>
      </c>
    </row>
    <row r="413" spans="1:17" ht="14.45" customHeight="1" x14ac:dyDescent="0.2">
      <c r="A413" s="715" t="s">
        <v>5061</v>
      </c>
      <c r="B413" s="716" t="s">
        <v>5062</v>
      </c>
      <c r="C413" s="716" t="s">
        <v>3029</v>
      </c>
      <c r="D413" s="716" t="s">
        <v>5107</v>
      </c>
      <c r="E413" s="716" t="s">
        <v>5108</v>
      </c>
      <c r="F413" s="720">
        <v>1</v>
      </c>
      <c r="G413" s="720">
        <v>377</v>
      </c>
      <c r="H413" s="720"/>
      <c r="I413" s="720">
        <v>377</v>
      </c>
      <c r="J413" s="720"/>
      <c r="K413" s="720"/>
      <c r="L413" s="720"/>
      <c r="M413" s="720"/>
      <c r="N413" s="720"/>
      <c r="O413" s="720"/>
      <c r="P413" s="745"/>
      <c r="Q413" s="721"/>
    </row>
    <row r="414" spans="1:17" ht="14.45" customHeight="1" x14ac:dyDescent="0.2">
      <c r="A414" s="715" t="s">
        <v>5061</v>
      </c>
      <c r="B414" s="716" t="s">
        <v>5062</v>
      </c>
      <c r="C414" s="716" t="s">
        <v>3029</v>
      </c>
      <c r="D414" s="716" t="s">
        <v>5109</v>
      </c>
      <c r="E414" s="716" t="s">
        <v>5110</v>
      </c>
      <c r="F414" s="720">
        <v>1</v>
      </c>
      <c r="G414" s="720">
        <v>242</v>
      </c>
      <c r="H414" s="720"/>
      <c r="I414" s="720">
        <v>242</v>
      </c>
      <c r="J414" s="720"/>
      <c r="K414" s="720"/>
      <c r="L414" s="720"/>
      <c r="M414" s="720"/>
      <c r="N414" s="720"/>
      <c r="O414" s="720"/>
      <c r="P414" s="745"/>
      <c r="Q414" s="721"/>
    </row>
    <row r="415" spans="1:17" ht="14.45" customHeight="1" x14ac:dyDescent="0.2">
      <c r="A415" s="715" t="s">
        <v>5061</v>
      </c>
      <c r="B415" s="716" t="s">
        <v>5062</v>
      </c>
      <c r="C415" s="716" t="s">
        <v>3029</v>
      </c>
      <c r="D415" s="716" t="s">
        <v>5111</v>
      </c>
      <c r="E415" s="716" t="s">
        <v>5112</v>
      </c>
      <c r="F415" s="720">
        <v>2</v>
      </c>
      <c r="G415" s="720">
        <v>2986</v>
      </c>
      <c r="H415" s="720">
        <v>0.22222222222222221</v>
      </c>
      <c r="I415" s="720">
        <v>1493</v>
      </c>
      <c r="J415" s="720">
        <v>9</v>
      </c>
      <c r="K415" s="720">
        <v>13437</v>
      </c>
      <c r="L415" s="720">
        <v>1</v>
      </c>
      <c r="M415" s="720">
        <v>1493</v>
      </c>
      <c r="N415" s="720">
        <v>13</v>
      </c>
      <c r="O415" s="720">
        <v>19448</v>
      </c>
      <c r="P415" s="745">
        <v>1.4473468780233683</v>
      </c>
      <c r="Q415" s="721">
        <v>1496</v>
      </c>
    </row>
    <row r="416" spans="1:17" ht="14.45" customHeight="1" x14ac:dyDescent="0.2">
      <c r="A416" s="715" t="s">
        <v>5061</v>
      </c>
      <c r="B416" s="716" t="s">
        <v>5062</v>
      </c>
      <c r="C416" s="716" t="s">
        <v>3029</v>
      </c>
      <c r="D416" s="716" t="s">
        <v>5113</v>
      </c>
      <c r="E416" s="716" t="s">
        <v>5114</v>
      </c>
      <c r="F416" s="720">
        <v>2</v>
      </c>
      <c r="G416" s="720">
        <v>654</v>
      </c>
      <c r="H416" s="720">
        <v>0.4</v>
      </c>
      <c r="I416" s="720">
        <v>327</v>
      </c>
      <c r="J416" s="720">
        <v>5</v>
      </c>
      <c r="K416" s="720">
        <v>1635</v>
      </c>
      <c r="L416" s="720">
        <v>1</v>
      </c>
      <c r="M416" s="720">
        <v>327</v>
      </c>
      <c r="N416" s="720">
        <v>10</v>
      </c>
      <c r="O416" s="720">
        <v>3290</v>
      </c>
      <c r="P416" s="745">
        <v>2.0122324159021407</v>
      </c>
      <c r="Q416" s="721">
        <v>329</v>
      </c>
    </row>
    <row r="417" spans="1:17" ht="14.45" customHeight="1" x14ac:dyDescent="0.2">
      <c r="A417" s="715" t="s">
        <v>5061</v>
      </c>
      <c r="B417" s="716" t="s">
        <v>5062</v>
      </c>
      <c r="C417" s="716" t="s">
        <v>3029</v>
      </c>
      <c r="D417" s="716" t="s">
        <v>5115</v>
      </c>
      <c r="E417" s="716" t="s">
        <v>5116</v>
      </c>
      <c r="F417" s="720"/>
      <c r="G417" s="720"/>
      <c r="H417" s="720"/>
      <c r="I417" s="720"/>
      <c r="J417" s="720">
        <v>3</v>
      </c>
      <c r="K417" s="720">
        <v>2664</v>
      </c>
      <c r="L417" s="720">
        <v>1</v>
      </c>
      <c r="M417" s="720">
        <v>888</v>
      </c>
      <c r="N417" s="720">
        <v>5</v>
      </c>
      <c r="O417" s="720">
        <v>4455</v>
      </c>
      <c r="P417" s="745">
        <v>1.6722972972972974</v>
      </c>
      <c r="Q417" s="721">
        <v>891</v>
      </c>
    </row>
    <row r="418" spans="1:17" ht="14.45" customHeight="1" x14ac:dyDescent="0.2">
      <c r="A418" s="715" t="s">
        <v>5061</v>
      </c>
      <c r="B418" s="716" t="s">
        <v>5062</v>
      </c>
      <c r="C418" s="716" t="s">
        <v>3029</v>
      </c>
      <c r="D418" s="716" t="s">
        <v>5117</v>
      </c>
      <c r="E418" s="716" t="s">
        <v>5118</v>
      </c>
      <c r="F418" s="720"/>
      <c r="G418" s="720"/>
      <c r="H418" s="720"/>
      <c r="I418" s="720"/>
      <c r="J418" s="720"/>
      <c r="K418" s="720"/>
      <c r="L418" s="720"/>
      <c r="M418" s="720"/>
      <c r="N418" s="720">
        <v>1</v>
      </c>
      <c r="O418" s="720">
        <v>334</v>
      </c>
      <c r="P418" s="745"/>
      <c r="Q418" s="721">
        <v>334</v>
      </c>
    </row>
    <row r="419" spans="1:17" ht="14.45" customHeight="1" x14ac:dyDescent="0.2">
      <c r="A419" s="715" t="s">
        <v>5061</v>
      </c>
      <c r="B419" s="716" t="s">
        <v>5062</v>
      </c>
      <c r="C419" s="716" t="s">
        <v>3029</v>
      </c>
      <c r="D419" s="716" t="s">
        <v>5119</v>
      </c>
      <c r="E419" s="716" t="s">
        <v>5120</v>
      </c>
      <c r="F419" s="720">
        <v>441</v>
      </c>
      <c r="G419" s="720">
        <v>114660</v>
      </c>
      <c r="H419" s="720">
        <v>0.34160991044135786</v>
      </c>
      <c r="I419" s="720">
        <v>260</v>
      </c>
      <c r="J419" s="720">
        <v>1286</v>
      </c>
      <c r="K419" s="720">
        <v>335646</v>
      </c>
      <c r="L419" s="720">
        <v>1</v>
      </c>
      <c r="M419" s="720">
        <v>261</v>
      </c>
      <c r="N419" s="720">
        <v>1241</v>
      </c>
      <c r="O419" s="720">
        <v>325142</v>
      </c>
      <c r="P419" s="745">
        <v>0.96870512385072371</v>
      </c>
      <c r="Q419" s="721">
        <v>262</v>
      </c>
    </row>
    <row r="420" spans="1:17" ht="14.45" customHeight="1" x14ac:dyDescent="0.2">
      <c r="A420" s="715" t="s">
        <v>5061</v>
      </c>
      <c r="B420" s="716" t="s">
        <v>5062</v>
      </c>
      <c r="C420" s="716" t="s">
        <v>3029</v>
      </c>
      <c r="D420" s="716" t="s">
        <v>5121</v>
      </c>
      <c r="E420" s="716" t="s">
        <v>5122</v>
      </c>
      <c r="F420" s="720">
        <v>15</v>
      </c>
      <c r="G420" s="720">
        <v>2475</v>
      </c>
      <c r="H420" s="720">
        <v>0.15463917525773196</v>
      </c>
      <c r="I420" s="720">
        <v>165</v>
      </c>
      <c r="J420" s="720">
        <v>97</v>
      </c>
      <c r="K420" s="720">
        <v>16005</v>
      </c>
      <c r="L420" s="720">
        <v>1</v>
      </c>
      <c r="M420" s="720">
        <v>165</v>
      </c>
      <c r="N420" s="720">
        <v>61</v>
      </c>
      <c r="O420" s="720">
        <v>10126</v>
      </c>
      <c r="P420" s="745">
        <v>0.63267728834739145</v>
      </c>
      <c r="Q420" s="721">
        <v>166</v>
      </c>
    </row>
    <row r="421" spans="1:17" ht="14.45" customHeight="1" x14ac:dyDescent="0.2">
      <c r="A421" s="715" t="s">
        <v>5061</v>
      </c>
      <c r="B421" s="716" t="s">
        <v>5062</v>
      </c>
      <c r="C421" s="716" t="s">
        <v>3029</v>
      </c>
      <c r="D421" s="716" t="s">
        <v>5123</v>
      </c>
      <c r="E421" s="716" t="s">
        <v>5124</v>
      </c>
      <c r="F421" s="720"/>
      <c r="G421" s="720"/>
      <c r="H421" s="720"/>
      <c r="I421" s="720"/>
      <c r="J421" s="720">
        <v>1</v>
      </c>
      <c r="K421" s="720">
        <v>152</v>
      </c>
      <c r="L421" s="720">
        <v>1</v>
      </c>
      <c r="M421" s="720">
        <v>152</v>
      </c>
      <c r="N421" s="720">
        <v>12</v>
      </c>
      <c r="O421" s="720">
        <v>1824</v>
      </c>
      <c r="P421" s="745">
        <v>12</v>
      </c>
      <c r="Q421" s="721">
        <v>152</v>
      </c>
    </row>
    <row r="422" spans="1:17" ht="14.45" customHeight="1" x14ac:dyDescent="0.2">
      <c r="A422" s="715" t="s">
        <v>5125</v>
      </c>
      <c r="B422" s="716" t="s">
        <v>4674</v>
      </c>
      <c r="C422" s="716" t="s">
        <v>3029</v>
      </c>
      <c r="D422" s="716" t="s">
        <v>5126</v>
      </c>
      <c r="E422" s="716" t="s">
        <v>5127</v>
      </c>
      <c r="F422" s="720">
        <v>3</v>
      </c>
      <c r="G422" s="720">
        <v>2529</v>
      </c>
      <c r="H422" s="720">
        <v>0.5</v>
      </c>
      <c r="I422" s="720">
        <v>843</v>
      </c>
      <c r="J422" s="720">
        <v>6</v>
      </c>
      <c r="K422" s="720">
        <v>5058</v>
      </c>
      <c r="L422" s="720">
        <v>1</v>
      </c>
      <c r="M422" s="720">
        <v>843</v>
      </c>
      <c r="N422" s="720">
        <v>3</v>
      </c>
      <c r="O422" s="720">
        <v>2538</v>
      </c>
      <c r="P422" s="745">
        <v>0.50177935943060503</v>
      </c>
      <c r="Q422" s="721">
        <v>846</v>
      </c>
    </row>
    <row r="423" spans="1:17" ht="14.45" customHeight="1" x14ac:dyDescent="0.2">
      <c r="A423" s="715" t="s">
        <v>5125</v>
      </c>
      <c r="B423" s="716" t="s">
        <v>4674</v>
      </c>
      <c r="C423" s="716" t="s">
        <v>3029</v>
      </c>
      <c r="D423" s="716" t="s">
        <v>5128</v>
      </c>
      <c r="E423" s="716" t="s">
        <v>5129</v>
      </c>
      <c r="F423" s="720"/>
      <c r="G423" s="720"/>
      <c r="H423" s="720"/>
      <c r="I423" s="720"/>
      <c r="J423" s="720">
        <v>1</v>
      </c>
      <c r="K423" s="720">
        <v>814</v>
      </c>
      <c r="L423" s="720">
        <v>1</v>
      </c>
      <c r="M423" s="720">
        <v>814</v>
      </c>
      <c r="N423" s="720"/>
      <c r="O423" s="720"/>
      <c r="P423" s="745"/>
      <c r="Q423" s="721"/>
    </row>
    <row r="424" spans="1:17" ht="14.45" customHeight="1" x14ac:dyDescent="0.2">
      <c r="A424" s="715" t="s">
        <v>5125</v>
      </c>
      <c r="B424" s="716" t="s">
        <v>4674</v>
      </c>
      <c r="C424" s="716" t="s">
        <v>3029</v>
      </c>
      <c r="D424" s="716" t="s">
        <v>5130</v>
      </c>
      <c r="E424" s="716" t="s">
        <v>5131</v>
      </c>
      <c r="F424" s="720"/>
      <c r="G424" s="720"/>
      <c r="H424" s="720"/>
      <c r="I424" s="720"/>
      <c r="J424" s="720">
        <v>1</v>
      </c>
      <c r="K424" s="720">
        <v>814</v>
      </c>
      <c r="L424" s="720">
        <v>1</v>
      </c>
      <c r="M424" s="720">
        <v>814</v>
      </c>
      <c r="N424" s="720"/>
      <c r="O424" s="720"/>
      <c r="P424" s="745"/>
      <c r="Q424" s="721"/>
    </row>
    <row r="425" spans="1:17" ht="14.45" customHeight="1" x14ac:dyDescent="0.2">
      <c r="A425" s="715" t="s">
        <v>5125</v>
      </c>
      <c r="B425" s="716" t="s">
        <v>4674</v>
      </c>
      <c r="C425" s="716" t="s">
        <v>3029</v>
      </c>
      <c r="D425" s="716" t="s">
        <v>5132</v>
      </c>
      <c r="E425" s="716" t="s">
        <v>5133</v>
      </c>
      <c r="F425" s="720">
        <v>13</v>
      </c>
      <c r="G425" s="720">
        <v>2184</v>
      </c>
      <c r="H425" s="720">
        <v>0.86701071853910283</v>
      </c>
      <c r="I425" s="720">
        <v>168</v>
      </c>
      <c r="J425" s="720">
        <v>15</v>
      </c>
      <c r="K425" s="720">
        <v>2519</v>
      </c>
      <c r="L425" s="720">
        <v>1</v>
      </c>
      <c r="M425" s="720">
        <v>167.93333333333334</v>
      </c>
      <c r="N425" s="720">
        <v>8</v>
      </c>
      <c r="O425" s="720">
        <v>1344</v>
      </c>
      <c r="P425" s="745">
        <v>0.53354505756252479</v>
      </c>
      <c r="Q425" s="721">
        <v>168</v>
      </c>
    </row>
    <row r="426" spans="1:17" ht="14.45" customHeight="1" x14ac:dyDescent="0.2">
      <c r="A426" s="715" t="s">
        <v>5125</v>
      </c>
      <c r="B426" s="716" t="s">
        <v>4674</v>
      </c>
      <c r="C426" s="716" t="s">
        <v>3029</v>
      </c>
      <c r="D426" s="716" t="s">
        <v>5134</v>
      </c>
      <c r="E426" s="716" t="s">
        <v>5135</v>
      </c>
      <c r="F426" s="720">
        <v>12</v>
      </c>
      <c r="G426" s="720">
        <v>2088</v>
      </c>
      <c r="H426" s="720">
        <v>0.8</v>
      </c>
      <c r="I426" s="720">
        <v>174</v>
      </c>
      <c r="J426" s="720">
        <v>15</v>
      </c>
      <c r="K426" s="720">
        <v>2610</v>
      </c>
      <c r="L426" s="720">
        <v>1</v>
      </c>
      <c r="M426" s="720">
        <v>174</v>
      </c>
      <c r="N426" s="720">
        <v>9</v>
      </c>
      <c r="O426" s="720">
        <v>1575</v>
      </c>
      <c r="P426" s="745">
        <v>0.60344827586206895</v>
      </c>
      <c r="Q426" s="721">
        <v>175</v>
      </c>
    </row>
    <row r="427" spans="1:17" ht="14.45" customHeight="1" x14ac:dyDescent="0.2">
      <c r="A427" s="715" t="s">
        <v>5125</v>
      </c>
      <c r="B427" s="716" t="s">
        <v>4674</v>
      </c>
      <c r="C427" s="716" t="s">
        <v>3029</v>
      </c>
      <c r="D427" s="716" t="s">
        <v>5136</v>
      </c>
      <c r="E427" s="716" t="s">
        <v>5137</v>
      </c>
      <c r="F427" s="720"/>
      <c r="G427" s="720"/>
      <c r="H427" s="720"/>
      <c r="I427" s="720"/>
      <c r="J427" s="720"/>
      <c r="K427" s="720"/>
      <c r="L427" s="720"/>
      <c r="M427" s="720"/>
      <c r="N427" s="720">
        <v>1</v>
      </c>
      <c r="O427" s="720">
        <v>679</v>
      </c>
      <c r="P427" s="745"/>
      <c r="Q427" s="721">
        <v>679</v>
      </c>
    </row>
    <row r="428" spans="1:17" ht="14.45" customHeight="1" x14ac:dyDescent="0.2">
      <c r="A428" s="715" t="s">
        <v>5125</v>
      </c>
      <c r="B428" s="716" t="s">
        <v>4674</v>
      </c>
      <c r="C428" s="716" t="s">
        <v>3029</v>
      </c>
      <c r="D428" s="716" t="s">
        <v>4368</v>
      </c>
      <c r="E428" s="716" t="s">
        <v>4369</v>
      </c>
      <c r="F428" s="720">
        <v>2</v>
      </c>
      <c r="G428" s="720">
        <v>1016</v>
      </c>
      <c r="H428" s="720">
        <v>1.9960707269155207</v>
      </c>
      <c r="I428" s="720">
        <v>508</v>
      </c>
      <c r="J428" s="720">
        <v>1</v>
      </c>
      <c r="K428" s="720">
        <v>509</v>
      </c>
      <c r="L428" s="720">
        <v>1</v>
      </c>
      <c r="M428" s="720">
        <v>509</v>
      </c>
      <c r="N428" s="720"/>
      <c r="O428" s="720"/>
      <c r="P428" s="745"/>
      <c r="Q428" s="721"/>
    </row>
    <row r="429" spans="1:17" ht="14.45" customHeight="1" x14ac:dyDescent="0.2">
      <c r="A429" s="715" t="s">
        <v>5125</v>
      </c>
      <c r="B429" s="716" t="s">
        <v>4674</v>
      </c>
      <c r="C429" s="716" t="s">
        <v>3029</v>
      </c>
      <c r="D429" s="716" t="s">
        <v>4394</v>
      </c>
      <c r="E429" s="716" t="s">
        <v>4395</v>
      </c>
      <c r="F429" s="720">
        <v>67</v>
      </c>
      <c r="G429" s="720">
        <v>23450</v>
      </c>
      <c r="H429" s="720">
        <v>1.0151515151515151</v>
      </c>
      <c r="I429" s="720">
        <v>350</v>
      </c>
      <c r="J429" s="720">
        <v>66</v>
      </c>
      <c r="K429" s="720">
        <v>23100</v>
      </c>
      <c r="L429" s="720">
        <v>1</v>
      </c>
      <c r="M429" s="720">
        <v>350</v>
      </c>
      <c r="N429" s="720">
        <v>24</v>
      </c>
      <c r="O429" s="720">
        <v>8424</v>
      </c>
      <c r="P429" s="745">
        <v>0.36467532467532465</v>
      </c>
      <c r="Q429" s="721">
        <v>351</v>
      </c>
    </row>
    <row r="430" spans="1:17" ht="14.45" customHeight="1" x14ac:dyDescent="0.2">
      <c r="A430" s="715" t="s">
        <v>5125</v>
      </c>
      <c r="B430" s="716" t="s">
        <v>4674</v>
      </c>
      <c r="C430" s="716" t="s">
        <v>3029</v>
      </c>
      <c r="D430" s="716" t="s">
        <v>5138</v>
      </c>
      <c r="E430" s="716" t="s">
        <v>5139</v>
      </c>
      <c r="F430" s="720"/>
      <c r="G430" s="720"/>
      <c r="H430" s="720"/>
      <c r="I430" s="720"/>
      <c r="J430" s="720"/>
      <c r="K430" s="720"/>
      <c r="L430" s="720"/>
      <c r="M430" s="720"/>
      <c r="N430" s="720">
        <v>1</v>
      </c>
      <c r="O430" s="720">
        <v>211</v>
      </c>
      <c r="P430" s="745"/>
      <c r="Q430" s="721">
        <v>211</v>
      </c>
    </row>
    <row r="431" spans="1:17" ht="14.45" customHeight="1" x14ac:dyDescent="0.2">
      <c r="A431" s="715" t="s">
        <v>5125</v>
      </c>
      <c r="B431" s="716" t="s">
        <v>4674</v>
      </c>
      <c r="C431" s="716" t="s">
        <v>3029</v>
      </c>
      <c r="D431" s="716" t="s">
        <v>5140</v>
      </c>
      <c r="E431" s="716" t="s">
        <v>5141</v>
      </c>
      <c r="F431" s="720">
        <v>12</v>
      </c>
      <c r="G431" s="720">
        <v>480</v>
      </c>
      <c r="H431" s="720">
        <v>0.85867620751341678</v>
      </c>
      <c r="I431" s="720">
        <v>40</v>
      </c>
      <c r="J431" s="720">
        <v>14</v>
      </c>
      <c r="K431" s="720">
        <v>559</v>
      </c>
      <c r="L431" s="720">
        <v>1</v>
      </c>
      <c r="M431" s="720">
        <v>39.928571428571431</v>
      </c>
      <c r="N431" s="720">
        <v>5</v>
      </c>
      <c r="O431" s="720">
        <v>200</v>
      </c>
      <c r="P431" s="745">
        <v>0.35778175313059035</v>
      </c>
      <c r="Q431" s="721">
        <v>40</v>
      </c>
    </row>
    <row r="432" spans="1:17" ht="14.45" customHeight="1" x14ac:dyDescent="0.2">
      <c r="A432" s="715" t="s">
        <v>5125</v>
      </c>
      <c r="B432" s="716" t="s">
        <v>4674</v>
      </c>
      <c r="C432" s="716" t="s">
        <v>3029</v>
      </c>
      <c r="D432" s="716" t="s">
        <v>5142</v>
      </c>
      <c r="E432" s="716" t="s">
        <v>5143</v>
      </c>
      <c r="F432" s="720"/>
      <c r="G432" s="720"/>
      <c r="H432" s="720"/>
      <c r="I432" s="720"/>
      <c r="J432" s="720"/>
      <c r="K432" s="720"/>
      <c r="L432" s="720"/>
      <c r="M432" s="720"/>
      <c r="N432" s="720">
        <v>1</v>
      </c>
      <c r="O432" s="720">
        <v>5030</v>
      </c>
      <c r="P432" s="745"/>
      <c r="Q432" s="721">
        <v>5030</v>
      </c>
    </row>
    <row r="433" spans="1:17" ht="14.45" customHeight="1" x14ac:dyDescent="0.2">
      <c r="A433" s="715" t="s">
        <v>5125</v>
      </c>
      <c r="B433" s="716" t="s">
        <v>4674</v>
      </c>
      <c r="C433" s="716" t="s">
        <v>3029</v>
      </c>
      <c r="D433" s="716" t="s">
        <v>4574</v>
      </c>
      <c r="E433" s="716" t="s">
        <v>4575</v>
      </c>
      <c r="F433" s="720">
        <v>13</v>
      </c>
      <c r="G433" s="720">
        <v>2223</v>
      </c>
      <c r="H433" s="720">
        <v>0.8130943672275055</v>
      </c>
      <c r="I433" s="720">
        <v>171</v>
      </c>
      <c r="J433" s="720">
        <v>16</v>
      </c>
      <c r="K433" s="720">
        <v>2734</v>
      </c>
      <c r="L433" s="720">
        <v>1</v>
      </c>
      <c r="M433" s="720">
        <v>170.875</v>
      </c>
      <c r="N433" s="720">
        <v>8</v>
      </c>
      <c r="O433" s="720">
        <v>1368</v>
      </c>
      <c r="P433" s="745">
        <v>0.50036576444769565</v>
      </c>
      <c r="Q433" s="721">
        <v>171</v>
      </c>
    </row>
    <row r="434" spans="1:17" ht="14.45" customHeight="1" x14ac:dyDescent="0.2">
      <c r="A434" s="715" t="s">
        <v>5125</v>
      </c>
      <c r="B434" s="716" t="s">
        <v>4674</v>
      </c>
      <c r="C434" s="716" t="s">
        <v>3029</v>
      </c>
      <c r="D434" s="716" t="s">
        <v>5144</v>
      </c>
      <c r="E434" s="716" t="s">
        <v>5145</v>
      </c>
      <c r="F434" s="720">
        <v>1</v>
      </c>
      <c r="G434" s="720">
        <v>350</v>
      </c>
      <c r="H434" s="720">
        <v>1</v>
      </c>
      <c r="I434" s="720">
        <v>350</v>
      </c>
      <c r="J434" s="720">
        <v>1</v>
      </c>
      <c r="K434" s="720">
        <v>350</v>
      </c>
      <c r="L434" s="720">
        <v>1</v>
      </c>
      <c r="M434" s="720">
        <v>350</v>
      </c>
      <c r="N434" s="720"/>
      <c r="O434" s="720"/>
      <c r="P434" s="745"/>
      <c r="Q434" s="721"/>
    </row>
    <row r="435" spans="1:17" ht="14.45" customHeight="1" x14ac:dyDescent="0.2">
      <c r="A435" s="715" t="s">
        <v>5125</v>
      </c>
      <c r="B435" s="716" t="s">
        <v>4674</v>
      </c>
      <c r="C435" s="716" t="s">
        <v>3029</v>
      </c>
      <c r="D435" s="716" t="s">
        <v>4598</v>
      </c>
      <c r="E435" s="716" t="s">
        <v>4599</v>
      </c>
      <c r="F435" s="720">
        <v>12</v>
      </c>
      <c r="G435" s="720">
        <v>2088</v>
      </c>
      <c r="H435" s="720">
        <v>0.75053918044572254</v>
      </c>
      <c r="I435" s="720">
        <v>174</v>
      </c>
      <c r="J435" s="720">
        <v>16</v>
      </c>
      <c r="K435" s="720">
        <v>2782</v>
      </c>
      <c r="L435" s="720">
        <v>1</v>
      </c>
      <c r="M435" s="720">
        <v>173.875</v>
      </c>
      <c r="N435" s="720">
        <v>8</v>
      </c>
      <c r="O435" s="720">
        <v>1392</v>
      </c>
      <c r="P435" s="745">
        <v>0.50035945363048162</v>
      </c>
      <c r="Q435" s="721">
        <v>174</v>
      </c>
    </row>
    <row r="436" spans="1:17" ht="14.45" customHeight="1" x14ac:dyDescent="0.2">
      <c r="A436" s="715" t="s">
        <v>5125</v>
      </c>
      <c r="B436" s="716" t="s">
        <v>4674</v>
      </c>
      <c r="C436" s="716" t="s">
        <v>3029</v>
      </c>
      <c r="D436" s="716" t="s">
        <v>5146</v>
      </c>
      <c r="E436" s="716" t="s">
        <v>5147</v>
      </c>
      <c r="F436" s="720">
        <v>8</v>
      </c>
      <c r="G436" s="720">
        <v>3208</v>
      </c>
      <c r="H436" s="720">
        <v>2</v>
      </c>
      <c r="I436" s="720">
        <v>401</v>
      </c>
      <c r="J436" s="720">
        <v>4</v>
      </c>
      <c r="K436" s="720">
        <v>1604</v>
      </c>
      <c r="L436" s="720">
        <v>1</v>
      </c>
      <c r="M436" s="720">
        <v>401</v>
      </c>
      <c r="N436" s="720"/>
      <c r="O436" s="720"/>
      <c r="P436" s="745"/>
      <c r="Q436" s="721"/>
    </row>
    <row r="437" spans="1:17" ht="14.45" customHeight="1" x14ac:dyDescent="0.2">
      <c r="A437" s="715" t="s">
        <v>5125</v>
      </c>
      <c r="B437" s="716" t="s">
        <v>4674</v>
      </c>
      <c r="C437" s="716" t="s">
        <v>3029</v>
      </c>
      <c r="D437" s="716" t="s">
        <v>5148</v>
      </c>
      <c r="E437" s="716" t="s">
        <v>5149</v>
      </c>
      <c r="F437" s="720"/>
      <c r="G437" s="720"/>
      <c r="H437" s="720"/>
      <c r="I437" s="720"/>
      <c r="J437" s="720"/>
      <c r="K437" s="720"/>
      <c r="L437" s="720"/>
      <c r="M437" s="720"/>
      <c r="N437" s="720">
        <v>1</v>
      </c>
      <c r="O437" s="720">
        <v>679</v>
      </c>
      <c r="P437" s="745"/>
      <c r="Q437" s="721">
        <v>679</v>
      </c>
    </row>
    <row r="438" spans="1:17" ht="14.45" customHeight="1" x14ac:dyDescent="0.2">
      <c r="A438" s="715" t="s">
        <v>5125</v>
      </c>
      <c r="B438" s="716" t="s">
        <v>4674</v>
      </c>
      <c r="C438" s="716" t="s">
        <v>3029</v>
      </c>
      <c r="D438" s="716" t="s">
        <v>5150</v>
      </c>
      <c r="E438" s="716" t="s">
        <v>5151</v>
      </c>
      <c r="F438" s="720"/>
      <c r="G438" s="720"/>
      <c r="H438" s="720"/>
      <c r="I438" s="720"/>
      <c r="J438" s="720">
        <v>1</v>
      </c>
      <c r="K438" s="720">
        <v>814</v>
      </c>
      <c r="L438" s="720">
        <v>1</v>
      </c>
      <c r="M438" s="720">
        <v>814</v>
      </c>
      <c r="N438" s="720"/>
      <c r="O438" s="720"/>
      <c r="P438" s="745"/>
      <c r="Q438" s="721"/>
    </row>
    <row r="439" spans="1:17" ht="14.45" customHeight="1" x14ac:dyDescent="0.2">
      <c r="A439" s="715" t="s">
        <v>5125</v>
      </c>
      <c r="B439" s="716" t="s">
        <v>4674</v>
      </c>
      <c r="C439" s="716" t="s">
        <v>3029</v>
      </c>
      <c r="D439" s="716" t="s">
        <v>5152</v>
      </c>
      <c r="E439" s="716" t="s">
        <v>5153</v>
      </c>
      <c r="F439" s="720">
        <v>12</v>
      </c>
      <c r="G439" s="720">
        <v>2016</v>
      </c>
      <c r="H439" s="720">
        <v>0.80031758634378725</v>
      </c>
      <c r="I439" s="720">
        <v>168</v>
      </c>
      <c r="J439" s="720">
        <v>15</v>
      </c>
      <c r="K439" s="720">
        <v>2519</v>
      </c>
      <c r="L439" s="720">
        <v>1</v>
      </c>
      <c r="M439" s="720">
        <v>167.93333333333334</v>
      </c>
      <c r="N439" s="720">
        <v>9</v>
      </c>
      <c r="O439" s="720">
        <v>1512</v>
      </c>
      <c r="P439" s="745">
        <v>0.60023818975784038</v>
      </c>
      <c r="Q439" s="721">
        <v>168</v>
      </c>
    </row>
    <row r="440" spans="1:17" ht="14.45" customHeight="1" x14ac:dyDescent="0.2">
      <c r="A440" s="715" t="s">
        <v>5125</v>
      </c>
      <c r="B440" s="716" t="s">
        <v>4674</v>
      </c>
      <c r="C440" s="716" t="s">
        <v>3029</v>
      </c>
      <c r="D440" s="716" t="s">
        <v>5154</v>
      </c>
      <c r="E440" s="716" t="s">
        <v>5155</v>
      </c>
      <c r="F440" s="720">
        <v>2</v>
      </c>
      <c r="G440" s="720">
        <v>1148</v>
      </c>
      <c r="H440" s="720">
        <v>2</v>
      </c>
      <c r="I440" s="720">
        <v>574</v>
      </c>
      <c r="J440" s="720">
        <v>1</v>
      </c>
      <c r="K440" s="720">
        <v>574</v>
      </c>
      <c r="L440" s="720">
        <v>1</v>
      </c>
      <c r="M440" s="720">
        <v>574</v>
      </c>
      <c r="N440" s="720"/>
      <c r="O440" s="720"/>
      <c r="P440" s="745"/>
      <c r="Q440" s="721"/>
    </row>
    <row r="441" spans="1:17" ht="14.45" customHeight="1" x14ac:dyDescent="0.2">
      <c r="A441" s="715" t="s">
        <v>5125</v>
      </c>
      <c r="B441" s="716" t="s">
        <v>4674</v>
      </c>
      <c r="C441" s="716" t="s">
        <v>3029</v>
      </c>
      <c r="D441" s="716" t="s">
        <v>5156</v>
      </c>
      <c r="E441" s="716" t="s">
        <v>5157</v>
      </c>
      <c r="F441" s="720">
        <v>2</v>
      </c>
      <c r="G441" s="720">
        <v>2044</v>
      </c>
      <c r="H441" s="720"/>
      <c r="I441" s="720">
        <v>1022</v>
      </c>
      <c r="J441" s="720"/>
      <c r="K441" s="720"/>
      <c r="L441" s="720"/>
      <c r="M441" s="720"/>
      <c r="N441" s="720"/>
      <c r="O441" s="720"/>
      <c r="P441" s="745"/>
      <c r="Q441" s="721"/>
    </row>
    <row r="442" spans="1:17" ht="14.45" customHeight="1" x14ac:dyDescent="0.2">
      <c r="A442" s="715" t="s">
        <v>5125</v>
      </c>
      <c r="B442" s="716" t="s">
        <v>4674</v>
      </c>
      <c r="C442" s="716" t="s">
        <v>3029</v>
      </c>
      <c r="D442" s="716" t="s">
        <v>5158</v>
      </c>
      <c r="E442" s="716" t="s">
        <v>5159</v>
      </c>
      <c r="F442" s="720"/>
      <c r="G442" s="720"/>
      <c r="H442" s="720"/>
      <c r="I442" s="720"/>
      <c r="J442" s="720">
        <v>1</v>
      </c>
      <c r="K442" s="720">
        <v>814</v>
      </c>
      <c r="L442" s="720">
        <v>1</v>
      </c>
      <c r="M442" s="720">
        <v>814</v>
      </c>
      <c r="N442" s="720"/>
      <c r="O442" s="720"/>
      <c r="P442" s="745"/>
      <c r="Q442" s="721"/>
    </row>
    <row r="443" spans="1:17" ht="14.45" customHeight="1" x14ac:dyDescent="0.2">
      <c r="A443" s="715" t="s">
        <v>5125</v>
      </c>
      <c r="B443" s="716" t="s">
        <v>4674</v>
      </c>
      <c r="C443" s="716" t="s">
        <v>3029</v>
      </c>
      <c r="D443" s="716" t="s">
        <v>5160</v>
      </c>
      <c r="E443" s="716" t="s">
        <v>5161</v>
      </c>
      <c r="F443" s="720"/>
      <c r="G443" s="720"/>
      <c r="H443" s="720"/>
      <c r="I443" s="720"/>
      <c r="J443" s="720">
        <v>6</v>
      </c>
      <c r="K443" s="720">
        <v>24522</v>
      </c>
      <c r="L443" s="720">
        <v>1</v>
      </c>
      <c r="M443" s="720">
        <v>4087</v>
      </c>
      <c r="N443" s="720">
        <v>1</v>
      </c>
      <c r="O443" s="720">
        <v>4102</v>
      </c>
      <c r="P443" s="745">
        <v>0.16727836228692602</v>
      </c>
      <c r="Q443" s="721">
        <v>4102</v>
      </c>
    </row>
    <row r="444" spans="1:17" ht="14.45" customHeight="1" x14ac:dyDescent="0.2">
      <c r="A444" s="715" t="s">
        <v>5125</v>
      </c>
      <c r="B444" s="716" t="s">
        <v>4674</v>
      </c>
      <c r="C444" s="716" t="s">
        <v>3029</v>
      </c>
      <c r="D444" s="716" t="s">
        <v>5162</v>
      </c>
      <c r="E444" s="716" t="s">
        <v>5163</v>
      </c>
      <c r="F444" s="720"/>
      <c r="G444" s="720"/>
      <c r="H444" s="720"/>
      <c r="I444" s="720"/>
      <c r="J444" s="720">
        <v>1</v>
      </c>
      <c r="K444" s="720">
        <v>253</v>
      </c>
      <c r="L444" s="720">
        <v>1</v>
      </c>
      <c r="M444" s="720">
        <v>253</v>
      </c>
      <c r="N444" s="720"/>
      <c r="O444" s="720"/>
      <c r="P444" s="745"/>
      <c r="Q444" s="721"/>
    </row>
    <row r="445" spans="1:17" ht="14.45" customHeight="1" x14ac:dyDescent="0.2">
      <c r="A445" s="715" t="s">
        <v>5125</v>
      </c>
      <c r="B445" s="716" t="s">
        <v>4674</v>
      </c>
      <c r="C445" s="716" t="s">
        <v>3029</v>
      </c>
      <c r="D445" s="716" t="s">
        <v>5164</v>
      </c>
      <c r="E445" s="716" t="s">
        <v>5165</v>
      </c>
      <c r="F445" s="720"/>
      <c r="G445" s="720"/>
      <c r="H445" s="720"/>
      <c r="I445" s="720"/>
      <c r="J445" s="720">
        <v>1</v>
      </c>
      <c r="K445" s="720">
        <v>424</v>
      </c>
      <c r="L445" s="720">
        <v>1</v>
      </c>
      <c r="M445" s="720">
        <v>424</v>
      </c>
      <c r="N445" s="720"/>
      <c r="O445" s="720"/>
      <c r="P445" s="745"/>
      <c r="Q445" s="721"/>
    </row>
    <row r="446" spans="1:17" ht="14.45" customHeight="1" x14ac:dyDescent="0.2">
      <c r="A446" s="715" t="s">
        <v>518</v>
      </c>
      <c r="B446" s="716" t="s">
        <v>3028</v>
      </c>
      <c r="C446" s="716" t="s">
        <v>3029</v>
      </c>
      <c r="D446" s="716" t="s">
        <v>3984</v>
      </c>
      <c r="E446" s="716" t="s">
        <v>3985</v>
      </c>
      <c r="F446" s="720"/>
      <c r="G446" s="720"/>
      <c r="H446" s="720"/>
      <c r="I446" s="720"/>
      <c r="J446" s="720">
        <v>1</v>
      </c>
      <c r="K446" s="720">
        <v>266</v>
      </c>
      <c r="L446" s="720">
        <v>1</v>
      </c>
      <c r="M446" s="720">
        <v>266</v>
      </c>
      <c r="N446" s="720"/>
      <c r="O446" s="720"/>
      <c r="P446" s="745"/>
      <c r="Q446" s="721"/>
    </row>
    <row r="447" spans="1:17" ht="14.45" customHeight="1" x14ac:dyDescent="0.2">
      <c r="A447" s="715" t="s">
        <v>5166</v>
      </c>
      <c r="B447" s="716" t="s">
        <v>4352</v>
      </c>
      <c r="C447" s="716" t="s">
        <v>3029</v>
      </c>
      <c r="D447" s="716" t="s">
        <v>4368</v>
      </c>
      <c r="E447" s="716" t="s">
        <v>4369</v>
      </c>
      <c r="F447" s="720">
        <v>6</v>
      </c>
      <c r="G447" s="720">
        <v>3048</v>
      </c>
      <c r="H447" s="720">
        <v>1.1976424361493123</v>
      </c>
      <c r="I447" s="720">
        <v>508</v>
      </c>
      <c r="J447" s="720">
        <v>5</v>
      </c>
      <c r="K447" s="720">
        <v>2545</v>
      </c>
      <c r="L447" s="720">
        <v>1</v>
      </c>
      <c r="M447" s="720">
        <v>509</v>
      </c>
      <c r="N447" s="720"/>
      <c r="O447" s="720"/>
      <c r="P447" s="745"/>
      <c r="Q447" s="721"/>
    </row>
    <row r="448" spans="1:17" ht="14.45" customHeight="1" x14ac:dyDescent="0.2">
      <c r="A448" s="715" t="s">
        <v>5166</v>
      </c>
      <c r="B448" s="716" t="s">
        <v>4352</v>
      </c>
      <c r="C448" s="716" t="s">
        <v>3029</v>
      </c>
      <c r="D448" s="716" t="s">
        <v>5167</v>
      </c>
      <c r="E448" s="716" t="s">
        <v>5168</v>
      </c>
      <c r="F448" s="720">
        <v>5</v>
      </c>
      <c r="G448" s="720">
        <v>32020</v>
      </c>
      <c r="H448" s="720">
        <v>1.4927738927738927</v>
      </c>
      <c r="I448" s="720">
        <v>6404</v>
      </c>
      <c r="J448" s="720">
        <v>3</v>
      </c>
      <c r="K448" s="720">
        <v>21450</v>
      </c>
      <c r="L448" s="720">
        <v>1</v>
      </c>
      <c r="M448" s="720">
        <v>7150</v>
      </c>
      <c r="N448" s="720"/>
      <c r="O448" s="720"/>
      <c r="P448" s="745"/>
      <c r="Q448" s="721"/>
    </row>
    <row r="449" spans="1:17" ht="14.45" customHeight="1" x14ac:dyDescent="0.2">
      <c r="A449" s="715" t="s">
        <v>5166</v>
      </c>
      <c r="B449" s="716" t="s">
        <v>4352</v>
      </c>
      <c r="C449" s="716" t="s">
        <v>3029</v>
      </c>
      <c r="D449" s="716" t="s">
        <v>4355</v>
      </c>
      <c r="E449" s="716" t="s">
        <v>4356</v>
      </c>
      <c r="F449" s="720">
        <v>2</v>
      </c>
      <c r="G449" s="720">
        <v>19524</v>
      </c>
      <c r="H449" s="720"/>
      <c r="I449" s="720">
        <v>9762</v>
      </c>
      <c r="J449" s="720"/>
      <c r="K449" s="720"/>
      <c r="L449" s="720"/>
      <c r="M449" s="720"/>
      <c r="N449" s="720"/>
      <c r="O449" s="720"/>
      <c r="P449" s="745"/>
      <c r="Q449" s="721"/>
    </row>
    <row r="450" spans="1:17" ht="14.45" customHeight="1" x14ac:dyDescent="0.2">
      <c r="A450" s="715" t="s">
        <v>5166</v>
      </c>
      <c r="B450" s="716" t="s">
        <v>4352</v>
      </c>
      <c r="C450" s="716" t="s">
        <v>3029</v>
      </c>
      <c r="D450" s="716" t="s">
        <v>5031</v>
      </c>
      <c r="E450" s="716" t="s">
        <v>5032</v>
      </c>
      <c r="F450" s="720">
        <v>4</v>
      </c>
      <c r="G450" s="720">
        <v>712</v>
      </c>
      <c r="H450" s="720">
        <v>0.66294227188081933</v>
      </c>
      <c r="I450" s="720">
        <v>178</v>
      </c>
      <c r="J450" s="720">
        <v>6</v>
      </c>
      <c r="K450" s="720">
        <v>1074</v>
      </c>
      <c r="L450" s="720">
        <v>1</v>
      </c>
      <c r="M450" s="720">
        <v>179</v>
      </c>
      <c r="N450" s="720"/>
      <c r="O450" s="720"/>
      <c r="P450" s="745"/>
      <c r="Q450" s="721"/>
    </row>
    <row r="451" spans="1:17" ht="14.45" customHeight="1" x14ac:dyDescent="0.2">
      <c r="A451" s="715" t="s">
        <v>5166</v>
      </c>
      <c r="B451" s="716" t="s">
        <v>4352</v>
      </c>
      <c r="C451" s="716" t="s">
        <v>3029</v>
      </c>
      <c r="D451" s="716" t="s">
        <v>5169</v>
      </c>
      <c r="E451" s="716" t="s">
        <v>5170</v>
      </c>
      <c r="F451" s="720">
        <v>7</v>
      </c>
      <c r="G451" s="720">
        <v>52892</v>
      </c>
      <c r="H451" s="720">
        <v>6.9990737064972874</v>
      </c>
      <c r="I451" s="720">
        <v>7556</v>
      </c>
      <c r="J451" s="720">
        <v>1</v>
      </c>
      <c r="K451" s="720">
        <v>7557</v>
      </c>
      <c r="L451" s="720">
        <v>1</v>
      </c>
      <c r="M451" s="720">
        <v>7557</v>
      </c>
      <c r="N451" s="720"/>
      <c r="O451" s="720"/>
      <c r="P451" s="745"/>
      <c r="Q451" s="721"/>
    </row>
    <row r="452" spans="1:17" ht="14.45" customHeight="1" x14ac:dyDescent="0.2">
      <c r="A452" s="715" t="s">
        <v>5166</v>
      </c>
      <c r="B452" s="716" t="s">
        <v>4352</v>
      </c>
      <c r="C452" s="716" t="s">
        <v>3029</v>
      </c>
      <c r="D452" s="716" t="s">
        <v>5171</v>
      </c>
      <c r="E452" s="716" t="s">
        <v>5172</v>
      </c>
      <c r="F452" s="720">
        <v>1</v>
      </c>
      <c r="G452" s="720">
        <v>0</v>
      </c>
      <c r="H452" s="720"/>
      <c r="I452" s="720">
        <v>0</v>
      </c>
      <c r="J452" s="720"/>
      <c r="K452" s="720"/>
      <c r="L452" s="720"/>
      <c r="M452" s="720"/>
      <c r="N452" s="720"/>
      <c r="O452" s="720"/>
      <c r="P452" s="745"/>
      <c r="Q452" s="721"/>
    </row>
    <row r="453" spans="1:17" ht="14.45" customHeight="1" x14ac:dyDescent="0.2">
      <c r="A453" s="715" t="s">
        <v>5166</v>
      </c>
      <c r="B453" s="716" t="s">
        <v>4352</v>
      </c>
      <c r="C453" s="716" t="s">
        <v>3029</v>
      </c>
      <c r="D453" s="716" t="s">
        <v>5173</v>
      </c>
      <c r="E453" s="716" t="s">
        <v>5174</v>
      </c>
      <c r="F453" s="720"/>
      <c r="G453" s="720"/>
      <c r="H453" s="720"/>
      <c r="I453" s="720"/>
      <c r="J453" s="720">
        <v>1</v>
      </c>
      <c r="K453" s="720">
        <v>0</v>
      </c>
      <c r="L453" s="720"/>
      <c r="M453" s="720">
        <v>0</v>
      </c>
      <c r="N453" s="720"/>
      <c r="O453" s="720"/>
      <c r="P453" s="745"/>
      <c r="Q453" s="721"/>
    </row>
    <row r="454" spans="1:17" ht="14.45" customHeight="1" x14ac:dyDescent="0.2">
      <c r="A454" s="715" t="s">
        <v>5166</v>
      </c>
      <c r="B454" s="716" t="s">
        <v>4352</v>
      </c>
      <c r="C454" s="716" t="s">
        <v>3029</v>
      </c>
      <c r="D454" s="716" t="s">
        <v>5175</v>
      </c>
      <c r="E454" s="716" t="s">
        <v>5176</v>
      </c>
      <c r="F454" s="720">
        <v>4</v>
      </c>
      <c r="G454" s="720">
        <v>0</v>
      </c>
      <c r="H454" s="720"/>
      <c r="I454" s="720">
        <v>0</v>
      </c>
      <c r="J454" s="720"/>
      <c r="K454" s="720"/>
      <c r="L454" s="720"/>
      <c r="M454" s="720"/>
      <c r="N454" s="720"/>
      <c r="O454" s="720"/>
      <c r="P454" s="745"/>
      <c r="Q454" s="721"/>
    </row>
    <row r="455" spans="1:17" ht="14.45" customHeight="1" x14ac:dyDescent="0.2">
      <c r="A455" s="715" t="s">
        <v>5166</v>
      </c>
      <c r="B455" s="716" t="s">
        <v>4352</v>
      </c>
      <c r="C455" s="716" t="s">
        <v>3029</v>
      </c>
      <c r="D455" s="716" t="s">
        <v>5177</v>
      </c>
      <c r="E455" s="716" t="s">
        <v>5178</v>
      </c>
      <c r="F455" s="720">
        <v>4</v>
      </c>
      <c r="G455" s="720">
        <v>0</v>
      </c>
      <c r="H455" s="720"/>
      <c r="I455" s="720">
        <v>0</v>
      </c>
      <c r="J455" s="720"/>
      <c r="K455" s="720"/>
      <c r="L455" s="720"/>
      <c r="M455" s="720"/>
      <c r="N455" s="720"/>
      <c r="O455" s="720"/>
      <c r="P455" s="745"/>
      <c r="Q455" s="721"/>
    </row>
    <row r="456" spans="1:17" ht="14.45" customHeight="1" x14ac:dyDescent="0.2">
      <c r="A456" s="715" t="s">
        <v>5166</v>
      </c>
      <c r="B456" s="716" t="s">
        <v>4352</v>
      </c>
      <c r="C456" s="716" t="s">
        <v>3029</v>
      </c>
      <c r="D456" s="716" t="s">
        <v>4359</v>
      </c>
      <c r="E456" s="716" t="s">
        <v>4360</v>
      </c>
      <c r="F456" s="720"/>
      <c r="G456" s="720"/>
      <c r="H456" s="720"/>
      <c r="I456" s="720"/>
      <c r="J456" s="720">
        <v>3</v>
      </c>
      <c r="K456" s="720">
        <v>3320</v>
      </c>
      <c r="L456" s="720">
        <v>1</v>
      </c>
      <c r="M456" s="720">
        <v>1106.6666666666667</v>
      </c>
      <c r="N456" s="720"/>
      <c r="O456" s="720"/>
      <c r="P456" s="745"/>
      <c r="Q456" s="721"/>
    </row>
    <row r="457" spans="1:17" ht="14.45" customHeight="1" x14ac:dyDescent="0.2">
      <c r="A457" s="715" t="s">
        <v>5166</v>
      </c>
      <c r="B457" s="716" t="s">
        <v>4352</v>
      </c>
      <c r="C457" s="716" t="s">
        <v>3029</v>
      </c>
      <c r="D457" s="716" t="s">
        <v>5179</v>
      </c>
      <c r="E457" s="716" t="s">
        <v>5180</v>
      </c>
      <c r="F457" s="720"/>
      <c r="G457" s="720"/>
      <c r="H457" s="720"/>
      <c r="I457" s="720"/>
      <c r="J457" s="720">
        <v>1</v>
      </c>
      <c r="K457" s="720">
        <v>3835</v>
      </c>
      <c r="L457" s="720">
        <v>1</v>
      </c>
      <c r="M457" s="720">
        <v>3835</v>
      </c>
      <c r="N457" s="720"/>
      <c r="O457" s="720"/>
      <c r="P457" s="745"/>
      <c r="Q457" s="721"/>
    </row>
    <row r="458" spans="1:17" ht="14.45" customHeight="1" thickBot="1" x14ac:dyDescent="0.25">
      <c r="A458" s="722" t="s">
        <v>5166</v>
      </c>
      <c r="B458" s="723" t="s">
        <v>4352</v>
      </c>
      <c r="C458" s="723" t="s">
        <v>3029</v>
      </c>
      <c r="D458" s="723" t="s">
        <v>5059</v>
      </c>
      <c r="E458" s="723" t="s">
        <v>5060</v>
      </c>
      <c r="F458" s="727"/>
      <c r="G458" s="727"/>
      <c r="H458" s="727"/>
      <c r="I458" s="727"/>
      <c r="J458" s="727">
        <v>1</v>
      </c>
      <c r="K458" s="727">
        <v>3835</v>
      </c>
      <c r="L458" s="727">
        <v>1</v>
      </c>
      <c r="M458" s="727">
        <v>3835</v>
      </c>
      <c r="N458" s="727"/>
      <c r="O458" s="727"/>
      <c r="P458" s="735"/>
      <c r="Q458" s="728"/>
    </row>
  </sheetData>
  <autoFilter ref="A5:Q5" xr:uid="{00000000-0009-0000-0000-000037000000}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 xr:uid="{6A0851F8-9E92-4091-85FE-C81C54EBEE86}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List25">
    <tabColor theme="0" tint="-0.249977111117893"/>
    <pageSetUpPr fitToPage="1"/>
  </sheetPr>
  <dimension ref="A1:N11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ColWidth="8.85546875" defaultRowHeight="14.45" customHeight="1" outlineLevelCol="1" x14ac:dyDescent="0.2"/>
  <cols>
    <col min="1" max="1" width="14.28515625" style="174" bestFit="1" customWidth="1"/>
    <col min="2" max="2" width="15.7109375" style="174" bestFit="1" customWidth="1"/>
    <col min="3" max="3" width="8.28515625" style="182" hidden="1" customWidth="1" outlineLevel="1"/>
    <col min="4" max="4" width="8.28515625" style="182" customWidth="1" collapsed="1"/>
    <col min="5" max="5" width="8.28515625" style="182" customWidth="1"/>
    <col min="6" max="6" width="6.140625" style="183" customWidth="1"/>
    <col min="7" max="7" width="8.28515625" style="182" hidden="1" customWidth="1" outlineLevel="1"/>
    <col min="8" max="8" width="8.28515625" style="182" customWidth="1" collapsed="1"/>
    <col min="9" max="9" width="8.28515625" style="182" customWidth="1"/>
    <col min="10" max="10" width="6.140625" style="183" customWidth="1"/>
    <col min="11" max="11" width="8.28515625" style="182" hidden="1" customWidth="1" outlineLevel="1"/>
    <col min="12" max="12" width="8.28515625" style="182" customWidth="1" collapsed="1"/>
    <col min="13" max="14" width="8.28515625" style="182" customWidth="1"/>
    <col min="15" max="16384" width="8.85546875" style="174"/>
  </cols>
  <sheetData>
    <row r="1" spans="1:14" ht="18.600000000000001" customHeight="1" thickBot="1" x14ac:dyDescent="0.35">
      <c r="A1" s="658" t="s">
        <v>164</v>
      </c>
      <c r="B1" s="659"/>
      <c r="C1" s="659"/>
      <c r="D1" s="659"/>
      <c r="E1" s="659"/>
      <c r="F1" s="659"/>
      <c r="G1" s="659"/>
      <c r="H1" s="659"/>
      <c r="I1" s="659"/>
      <c r="J1" s="659"/>
      <c r="K1" s="659"/>
      <c r="L1" s="659"/>
      <c r="M1" s="659"/>
      <c r="N1" s="659"/>
    </row>
    <row r="2" spans="1:14" ht="14.45" customHeight="1" thickBot="1" x14ac:dyDescent="0.25">
      <c r="A2" s="666" t="s">
        <v>305</v>
      </c>
      <c r="B2" s="175"/>
      <c r="C2" s="175"/>
      <c r="D2" s="175"/>
      <c r="E2" s="175"/>
      <c r="F2" s="175"/>
      <c r="G2" s="367"/>
      <c r="H2" s="367"/>
      <c r="I2" s="367"/>
      <c r="J2" s="175"/>
      <c r="K2" s="367"/>
      <c r="L2" s="367"/>
      <c r="M2" s="367"/>
      <c r="N2" s="175"/>
    </row>
    <row r="3" spans="1:14" ht="14.45" customHeight="1" thickBot="1" x14ac:dyDescent="0.25">
      <c r="A3" s="176"/>
      <c r="B3" s="177" t="s">
        <v>143</v>
      </c>
      <c r="C3" s="178">
        <f>SUBTOTAL(9,C6:C1048576)</f>
        <v>3746</v>
      </c>
      <c r="D3" s="179">
        <f>SUBTOTAL(9,D6:D1048576)</f>
        <v>3743</v>
      </c>
      <c r="E3" s="179">
        <f>SUBTOTAL(9,E6:E1048576)</f>
        <v>3778</v>
      </c>
      <c r="F3" s="180">
        <f>IF(OR(E3=0,D3=0),"",E3/D3)</f>
        <v>1.0093507881378574</v>
      </c>
      <c r="G3" s="368">
        <f>SUBTOTAL(9,G6:G1048576)</f>
        <v>41115.388839999992</v>
      </c>
      <c r="H3" s="369">
        <f>SUBTOTAL(9,H6:H1048576)</f>
        <v>42534.024999999987</v>
      </c>
      <c r="I3" s="369">
        <f>SUBTOTAL(9,I6:I1048576)</f>
        <v>41224.218820000016</v>
      </c>
      <c r="J3" s="180">
        <f>IF(OR(I3=0,H3=0),"",I3/H3)</f>
        <v>0.969205684625427</v>
      </c>
      <c r="K3" s="368">
        <f>SUBTOTAL(9,K6:K1048576)</f>
        <v>8435</v>
      </c>
      <c r="L3" s="369">
        <f>SUBTOTAL(9,L6:L1048576)</f>
        <v>8983</v>
      </c>
      <c r="M3" s="369">
        <f>SUBTOTAL(9,M6:M1048576)</f>
        <v>8313</v>
      </c>
      <c r="N3" s="181">
        <f>IF(OR(M3=0,E3=0),"",M3*1000/E3)</f>
        <v>2200.3705664372683</v>
      </c>
    </row>
    <row r="4" spans="1:14" ht="14.45" customHeight="1" x14ac:dyDescent="0.2">
      <c r="A4" s="660" t="s">
        <v>76</v>
      </c>
      <c r="B4" s="661" t="s">
        <v>11</v>
      </c>
      <c r="C4" s="662" t="s">
        <v>77</v>
      </c>
      <c r="D4" s="662"/>
      <c r="E4" s="662"/>
      <c r="F4" s="663"/>
      <c r="G4" s="664" t="s">
        <v>245</v>
      </c>
      <c r="H4" s="662"/>
      <c r="I4" s="662"/>
      <c r="J4" s="663"/>
      <c r="K4" s="664" t="s">
        <v>78</v>
      </c>
      <c r="L4" s="662"/>
      <c r="M4" s="662"/>
      <c r="N4" s="665"/>
    </row>
    <row r="5" spans="1:14" ht="14.45" customHeight="1" thickBot="1" x14ac:dyDescent="0.25">
      <c r="A5" s="896"/>
      <c r="B5" s="897"/>
      <c r="C5" s="904">
        <v>2015</v>
      </c>
      <c r="D5" s="904">
        <v>2018</v>
      </c>
      <c r="E5" s="904">
        <v>2019</v>
      </c>
      <c r="F5" s="905" t="s">
        <v>2</v>
      </c>
      <c r="G5" s="915">
        <v>2015</v>
      </c>
      <c r="H5" s="904">
        <v>2018</v>
      </c>
      <c r="I5" s="904">
        <v>2019</v>
      </c>
      <c r="J5" s="905" t="s">
        <v>2</v>
      </c>
      <c r="K5" s="915">
        <v>2015</v>
      </c>
      <c r="L5" s="904">
        <v>2018</v>
      </c>
      <c r="M5" s="904">
        <v>2019</v>
      </c>
      <c r="N5" s="916" t="s">
        <v>79</v>
      </c>
    </row>
    <row r="6" spans="1:14" ht="14.45" customHeight="1" x14ac:dyDescent="0.2">
      <c r="A6" s="898" t="s">
        <v>3936</v>
      </c>
      <c r="B6" s="901" t="s">
        <v>5182</v>
      </c>
      <c r="C6" s="906">
        <v>4</v>
      </c>
      <c r="D6" s="907">
        <v>14</v>
      </c>
      <c r="E6" s="907">
        <v>4</v>
      </c>
      <c r="F6" s="912"/>
      <c r="G6" s="906">
        <v>115.0776</v>
      </c>
      <c r="H6" s="907">
        <v>402.77160000000003</v>
      </c>
      <c r="I6" s="907">
        <v>115.10639999999999</v>
      </c>
      <c r="J6" s="912"/>
      <c r="K6" s="906">
        <v>44</v>
      </c>
      <c r="L6" s="907">
        <v>154</v>
      </c>
      <c r="M6" s="907">
        <v>44</v>
      </c>
      <c r="N6" s="917">
        <v>11000</v>
      </c>
    </row>
    <row r="7" spans="1:14" ht="14.45" customHeight="1" x14ac:dyDescent="0.2">
      <c r="A7" s="899" t="s">
        <v>4019</v>
      </c>
      <c r="B7" s="902" t="s">
        <v>5182</v>
      </c>
      <c r="C7" s="908">
        <v>89</v>
      </c>
      <c r="D7" s="909">
        <v>101</v>
      </c>
      <c r="E7" s="909">
        <v>40</v>
      </c>
      <c r="F7" s="913"/>
      <c r="G7" s="908">
        <v>2240.0765999999994</v>
      </c>
      <c r="H7" s="909">
        <v>2542.1093999999994</v>
      </c>
      <c r="I7" s="909">
        <v>1007.0351999999998</v>
      </c>
      <c r="J7" s="913"/>
      <c r="K7" s="908">
        <v>801</v>
      </c>
      <c r="L7" s="909">
        <v>909</v>
      </c>
      <c r="M7" s="909">
        <v>360</v>
      </c>
      <c r="N7" s="918">
        <v>9000</v>
      </c>
    </row>
    <row r="8" spans="1:14" ht="14.45" customHeight="1" x14ac:dyDescent="0.2">
      <c r="A8" s="899" t="s">
        <v>4007</v>
      </c>
      <c r="B8" s="902" t="s">
        <v>5182</v>
      </c>
      <c r="C8" s="908">
        <v>139</v>
      </c>
      <c r="D8" s="909">
        <v>207</v>
      </c>
      <c r="E8" s="909">
        <v>167</v>
      </c>
      <c r="F8" s="913"/>
      <c r="G8" s="908">
        <v>2998.1466</v>
      </c>
      <c r="H8" s="909">
        <v>4471.5762799999993</v>
      </c>
      <c r="I8" s="909">
        <v>3603.1788000000015</v>
      </c>
      <c r="J8" s="913"/>
      <c r="K8" s="908">
        <v>973</v>
      </c>
      <c r="L8" s="909">
        <v>1449</v>
      </c>
      <c r="M8" s="909">
        <v>1169</v>
      </c>
      <c r="N8" s="918">
        <v>7000</v>
      </c>
    </row>
    <row r="9" spans="1:14" ht="14.45" customHeight="1" x14ac:dyDescent="0.2">
      <c r="A9" s="899" t="s">
        <v>3938</v>
      </c>
      <c r="B9" s="902" t="s">
        <v>5182</v>
      </c>
      <c r="C9" s="908">
        <v>3126</v>
      </c>
      <c r="D9" s="909">
        <v>3065</v>
      </c>
      <c r="E9" s="909">
        <v>3189</v>
      </c>
      <c r="F9" s="913"/>
      <c r="G9" s="908">
        <v>33471.019799999995</v>
      </c>
      <c r="H9" s="909">
        <v>32992.284519999994</v>
      </c>
      <c r="I9" s="909">
        <v>34258.379040000007</v>
      </c>
      <c r="J9" s="913"/>
      <c r="K9" s="908">
        <v>6252</v>
      </c>
      <c r="L9" s="909">
        <v>6130</v>
      </c>
      <c r="M9" s="909">
        <v>6378</v>
      </c>
      <c r="N9" s="918">
        <v>2000</v>
      </c>
    </row>
    <row r="10" spans="1:14" ht="14.45" customHeight="1" x14ac:dyDescent="0.2">
      <c r="A10" s="899" t="s">
        <v>4009</v>
      </c>
      <c r="B10" s="902" t="s">
        <v>5182</v>
      </c>
      <c r="C10" s="908">
        <v>342</v>
      </c>
      <c r="D10" s="909">
        <v>326</v>
      </c>
      <c r="E10" s="909">
        <v>346</v>
      </c>
      <c r="F10" s="913"/>
      <c r="G10" s="908">
        <v>2060.7476800000004</v>
      </c>
      <c r="H10" s="909">
        <v>1977.4311999999991</v>
      </c>
      <c r="I10" s="909">
        <v>2082.6305800000041</v>
      </c>
      <c r="J10" s="913"/>
      <c r="K10" s="908">
        <v>342</v>
      </c>
      <c r="L10" s="909">
        <v>326</v>
      </c>
      <c r="M10" s="909">
        <v>346</v>
      </c>
      <c r="N10" s="918">
        <v>1000</v>
      </c>
    </row>
    <row r="11" spans="1:14" ht="14.45" customHeight="1" thickBot="1" x14ac:dyDescent="0.25">
      <c r="A11" s="900" t="s">
        <v>4003</v>
      </c>
      <c r="B11" s="903" t="s">
        <v>5182</v>
      </c>
      <c r="C11" s="910">
        <v>46</v>
      </c>
      <c r="D11" s="911">
        <v>30</v>
      </c>
      <c r="E11" s="911">
        <v>32</v>
      </c>
      <c r="F11" s="914"/>
      <c r="G11" s="910">
        <v>230.32055999999994</v>
      </c>
      <c r="H11" s="911">
        <v>147.85199999999998</v>
      </c>
      <c r="I11" s="911">
        <v>157.88880000000006</v>
      </c>
      <c r="J11" s="914"/>
      <c r="K11" s="910">
        <v>23</v>
      </c>
      <c r="L11" s="911">
        <v>15</v>
      </c>
      <c r="M11" s="911">
        <v>16</v>
      </c>
      <c r="N11" s="919">
        <v>500</v>
      </c>
    </row>
  </sheetData>
  <autoFilter ref="A5:N5" xr:uid="{00000000-0009-0000-0000-000039000000}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 xr:uid="{058173E5-764A-453B-9429-9EE9D33054DB}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233" bestFit="1" customWidth="1"/>
    <col min="2" max="2" width="9.5703125" style="233" hidden="1" customWidth="1" outlineLevel="1"/>
    <col min="3" max="3" width="9.5703125" style="233" customWidth="1" collapsed="1"/>
    <col min="4" max="4" width="2.28515625" style="233" customWidth="1"/>
    <col min="5" max="8" width="9.5703125" style="233" customWidth="1"/>
    <col min="9" max="10" width="9.7109375" style="233" hidden="1" customWidth="1" outlineLevel="1"/>
    <col min="11" max="11" width="8.85546875" style="233" collapsed="1"/>
    <col min="12" max="16384" width="8.85546875" style="233"/>
  </cols>
  <sheetData>
    <row r="1" spans="1:10" ht="18.600000000000001" customHeight="1" thickBot="1" x14ac:dyDescent="0.35">
      <c r="A1" s="503" t="s">
        <v>159</v>
      </c>
      <c r="B1" s="503"/>
      <c r="C1" s="503"/>
      <c r="D1" s="503"/>
      <c r="E1" s="503"/>
      <c r="F1" s="503"/>
      <c r="G1" s="503"/>
      <c r="H1" s="503"/>
      <c r="I1" s="503"/>
      <c r="J1" s="503"/>
    </row>
    <row r="2" spans="1:10" ht="14.45" customHeight="1" thickBot="1" x14ac:dyDescent="0.25">
      <c r="A2" s="666" t="s">
        <v>305</v>
      </c>
      <c r="B2" s="206"/>
      <c r="C2" s="206"/>
      <c r="D2" s="206"/>
      <c r="E2" s="206"/>
      <c r="F2" s="206"/>
    </row>
    <row r="3" spans="1:10" ht="14.45" customHeight="1" x14ac:dyDescent="0.2">
      <c r="A3" s="494"/>
      <c r="B3" s="202">
        <v>2015</v>
      </c>
      <c r="C3" s="44">
        <v>2018</v>
      </c>
      <c r="D3" s="11"/>
      <c r="E3" s="498">
        <v>2019</v>
      </c>
      <c r="F3" s="499"/>
      <c r="G3" s="499"/>
      <c r="H3" s="500"/>
      <c r="I3" s="501">
        <v>2017</v>
      </c>
      <c r="J3" s="502"/>
    </row>
    <row r="4" spans="1:10" ht="14.45" customHeight="1" thickBot="1" x14ac:dyDescent="0.25">
      <c r="A4" s="495"/>
      <c r="B4" s="496" t="s">
        <v>80</v>
      </c>
      <c r="C4" s="497"/>
      <c r="D4" s="11"/>
      <c r="E4" s="223" t="s">
        <v>80</v>
      </c>
      <c r="F4" s="204" t="s">
        <v>81</v>
      </c>
      <c r="G4" s="204" t="s">
        <v>55</v>
      </c>
      <c r="H4" s="205" t="s">
        <v>82</v>
      </c>
      <c r="I4" s="413" t="s">
        <v>241</v>
      </c>
      <c r="J4" s="414" t="s">
        <v>242</v>
      </c>
    </row>
    <row r="5" spans="1:10" ht="14.45" customHeight="1" x14ac:dyDescent="0.2">
      <c r="A5" s="207" t="str">
        <f>HYPERLINK("#'Léky Žádanky'!A1","Léky (Kč)")</f>
        <v>Léky (Kč)</v>
      </c>
      <c r="B5" s="31">
        <v>10842.020960000005</v>
      </c>
      <c r="C5" s="33">
        <v>10967.659520000001</v>
      </c>
      <c r="D5" s="12"/>
      <c r="E5" s="212">
        <v>10025.789759999998</v>
      </c>
      <c r="F5" s="32">
        <v>10249.9989765625</v>
      </c>
      <c r="G5" s="211">
        <f>E5-F5</f>
        <v>-224.20921656250175</v>
      </c>
      <c r="H5" s="217">
        <f>IF(F5&lt;0.00000001,"",E5/F5)</f>
        <v>0.9781259279073905</v>
      </c>
    </row>
    <row r="6" spans="1:10" ht="14.45" customHeight="1" x14ac:dyDescent="0.2">
      <c r="A6" s="207" t="str">
        <f>HYPERLINK("#'Materiál Žádanky'!A1","Materiál - SZM (Kč)")</f>
        <v>Materiál - SZM (Kč)</v>
      </c>
      <c r="B6" s="14">
        <v>4410.9983800000009</v>
      </c>
      <c r="C6" s="35">
        <v>4667.7559700000002</v>
      </c>
      <c r="D6" s="12"/>
      <c r="E6" s="213">
        <v>4678.1789199999994</v>
      </c>
      <c r="F6" s="34">
        <v>4707</v>
      </c>
      <c r="G6" s="214">
        <f>E6-F6</f>
        <v>-28.82108000000062</v>
      </c>
      <c r="H6" s="218">
        <f>IF(F6&lt;0.00000001,"",E6/F6)</f>
        <v>0.99387697471850422</v>
      </c>
    </row>
    <row r="7" spans="1:10" ht="14.45" customHeight="1" x14ac:dyDescent="0.2">
      <c r="A7" s="207" t="str">
        <f>HYPERLINK("#'Osobní náklady'!A1","Osobní náklady (Kč) *")</f>
        <v>Osobní náklady (Kč) *</v>
      </c>
      <c r="B7" s="14">
        <v>47854.796720000006</v>
      </c>
      <c r="C7" s="35">
        <v>54222.82561</v>
      </c>
      <c r="D7" s="12"/>
      <c r="E7" s="213">
        <v>61485.221700000002</v>
      </c>
      <c r="F7" s="34">
        <v>58551.690296875</v>
      </c>
      <c r="G7" s="214">
        <f>E7-F7</f>
        <v>2933.5314031250018</v>
      </c>
      <c r="H7" s="218">
        <f>IF(F7&lt;0.00000001,"",E7/F7)</f>
        <v>1.0501015664663325</v>
      </c>
    </row>
    <row r="8" spans="1:10" ht="14.45" customHeight="1" thickBot="1" x14ac:dyDescent="0.25">
      <c r="A8" s="1" t="s">
        <v>83</v>
      </c>
      <c r="B8" s="15">
        <v>8977.5305700000026</v>
      </c>
      <c r="C8" s="37">
        <v>9141.3435300000256</v>
      </c>
      <c r="D8" s="12"/>
      <c r="E8" s="215">
        <v>11372.941319999998</v>
      </c>
      <c r="F8" s="36">
        <v>9343.1950303955091</v>
      </c>
      <c r="G8" s="216">
        <f>E8-F8</f>
        <v>2029.746289604489</v>
      </c>
      <c r="H8" s="219">
        <f>IF(F8&lt;0.00000001,"",E8/F8)</f>
        <v>1.2172432752394946</v>
      </c>
    </row>
    <row r="9" spans="1:10" ht="14.45" customHeight="1" thickBot="1" x14ac:dyDescent="0.25">
      <c r="A9" s="2" t="s">
        <v>84</v>
      </c>
      <c r="B9" s="3">
        <v>72085.346630000015</v>
      </c>
      <c r="C9" s="39">
        <v>78999.584630000027</v>
      </c>
      <c r="D9" s="12"/>
      <c r="E9" s="3">
        <v>87562.131699999998</v>
      </c>
      <c r="F9" s="38">
        <v>82851.884303833009</v>
      </c>
      <c r="G9" s="38">
        <f>E9-F9</f>
        <v>4710.2473961669893</v>
      </c>
      <c r="H9" s="220">
        <f>IF(F9&lt;0.00000001,"",E9/F9)</f>
        <v>1.0568514214944544</v>
      </c>
    </row>
    <row r="10" spans="1:10" ht="14.45" customHeight="1" thickBot="1" x14ac:dyDescent="0.25">
      <c r="A10" s="16"/>
      <c r="B10" s="16"/>
      <c r="C10" s="203"/>
      <c r="D10" s="12"/>
      <c r="E10" s="16"/>
      <c r="F10" s="17"/>
    </row>
    <row r="11" spans="1:10" ht="14.45" customHeight="1" x14ac:dyDescent="0.2">
      <c r="A11" s="236" t="str">
        <f>HYPERLINK("#'ZV Vykáz.-A'!A1","Ambulance *")</f>
        <v>Ambulance *</v>
      </c>
      <c r="B11" s="13">
        <f>IF(ISERROR(VLOOKUP("Celkem:",'ZV Vykáz.-A'!A:H,2,0)),0,VLOOKUP("Celkem:",'ZV Vykáz.-A'!A:H,2,0)/1000)</f>
        <v>0</v>
      </c>
      <c r="C11" s="33">
        <f>IF(ISERROR(VLOOKUP("Celkem:",'ZV Vykáz.-A'!A:H,5,0)),0,VLOOKUP("Celkem:",'ZV Vykáz.-A'!A:H,5,0)/1000)</f>
        <v>0</v>
      </c>
      <c r="D11" s="12"/>
      <c r="E11" s="212">
        <f>IF(ISERROR(VLOOKUP("Celkem:",'ZV Vykáz.-A'!A:H,8,0)),0,VLOOKUP("Celkem:",'ZV Vykáz.-A'!A:H,8,0)/1000)</f>
        <v>0</v>
      </c>
      <c r="F11" s="32">
        <f>C11</f>
        <v>0</v>
      </c>
      <c r="G11" s="211">
        <f>E11-F11</f>
        <v>0</v>
      </c>
      <c r="H11" s="217" t="str">
        <f>IF(F11&lt;0.00000001,"",E11/F11)</f>
        <v/>
      </c>
      <c r="I11" s="211">
        <f>E11-B11</f>
        <v>0</v>
      </c>
      <c r="J11" s="217" t="str">
        <f>IF(B11&lt;0.00000001,"",E11/B11)</f>
        <v/>
      </c>
    </row>
    <row r="12" spans="1:10" ht="14.45" customHeight="1" thickBot="1" x14ac:dyDescent="0.25">
      <c r="A12" s="237" t="str">
        <f>HYPERLINK("#CaseMix!A1","Hospitalizace *")</f>
        <v>Hospitalizace *</v>
      </c>
      <c r="B12" s="15">
        <f>IF(ISERROR(VLOOKUP("Celkem",CaseMix!A:D,2,0)),0,VLOOKUP("Celkem",CaseMix!A:D,2,0)*30)</f>
        <v>19792.830000000002</v>
      </c>
      <c r="C12" s="37">
        <f>IF(ISERROR(VLOOKUP("Celkem",CaseMix!A:D,3,0)),0,VLOOKUP("Celkem",CaseMix!A:D,3,0)*30)</f>
        <v>19999.710000000003</v>
      </c>
      <c r="D12" s="12"/>
      <c r="E12" s="215">
        <f>IF(ISERROR(VLOOKUP("Celkem",CaseMix!A:D,4,0)),0,VLOOKUP("Celkem",CaseMix!A:D,4,0)*30)</f>
        <v>14342.01</v>
      </c>
      <c r="F12" s="36">
        <f>C12</f>
        <v>19999.710000000003</v>
      </c>
      <c r="G12" s="216">
        <f>E12-F12</f>
        <v>-5657.7000000000025</v>
      </c>
      <c r="H12" s="219">
        <f>IF(F12&lt;0.00000001,"",E12/F12)</f>
        <v>0.71711089810802253</v>
      </c>
      <c r="I12" s="216">
        <f>E12-B12</f>
        <v>-5450.8200000000015</v>
      </c>
      <c r="J12" s="219">
        <f>IF(B12&lt;0.00000001,"",E12/B12)</f>
        <v>0.72460633471817815</v>
      </c>
    </row>
    <row r="13" spans="1:10" ht="14.45" customHeight="1" thickBot="1" x14ac:dyDescent="0.25">
      <c r="A13" s="4" t="s">
        <v>87</v>
      </c>
      <c r="B13" s="9">
        <f>SUM(B11:B12)</f>
        <v>19792.830000000002</v>
      </c>
      <c r="C13" s="41">
        <f>SUM(C11:C12)</f>
        <v>19999.710000000003</v>
      </c>
      <c r="D13" s="12"/>
      <c r="E13" s="9">
        <f>SUM(E11:E12)</f>
        <v>14342.01</v>
      </c>
      <c r="F13" s="40">
        <f>SUM(F11:F12)</f>
        <v>19999.710000000003</v>
      </c>
      <c r="G13" s="40">
        <f>E13-F13</f>
        <v>-5657.7000000000025</v>
      </c>
      <c r="H13" s="221">
        <f>IF(F13&lt;0.00000001,"",E13/F13)</f>
        <v>0.71711089810802253</v>
      </c>
      <c r="I13" s="40">
        <f>SUM(I11:I12)</f>
        <v>-5450.8200000000015</v>
      </c>
      <c r="J13" s="221">
        <f>IF(B13&lt;0.00000001,"",E13/B13)</f>
        <v>0.72460633471817815</v>
      </c>
    </row>
    <row r="14" spans="1:10" ht="14.45" customHeight="1" thickBot="1" x14ac:dyDescent="0.25">
      <c r="A14" s="16"/>
      <c r="B14" s="16"/>
      <c r="C14" s="203"/>
      <c r="D14" s="12"/>
      <c r="E14" s="16"/>
      <c r="F14" s="17"/>
    </row>
    <row r="15" spans="1:10" ht="14.45" customHeight="1" thickBot="1" x14ac:dyDescent="0.25">
      <c r="A15" s="238" t="str">
        <f>HYPERLINK("#'HI Graf'!A1","Hospodářský index (Výnosy / Náklady) *")</f>
        <v>Hospodářský index (Výnosy / Náklady) *</v>
      </c>
      <c r="B15" s="10">
        <f>IF(B9=0,"",B13/B9)</f>
        <v>0.27457494380366548</v>
      </c>
      <c r="C15" s="43">
        <f>IF(C9=0,"",C13/C9)</f>
        <v>0.25316221716443216</v>
      </c>
      <c r="D15" s="12"/>
      <c r="E15" s="10">
        <f>IF(E9=0,"",E13/E9)</f>
        <v>0.16379238058225576</v>
      </c>
      <c r="F15" s="42">
        <f>IF(F9=0,"",F13/F9)</f>
        <v>0.24139113030498388</v>
      </c>
      <c r="G15" s="42">
        <f>IF(ISERROR(F15-E15),"",E15-F15)</f>
        <v>-7.7598749722728122E-2</v>
      </c>
      <c r="H15" s="222">
        <f>IF(ISERROR(F15-E15),"",IF(F15&lt;0.00000001,"",E15/F15))</f>
        <v>0.67853520705302406</v>
      </c>
    </row>
    <row r="17" spans="1:8" ht="14.45" customHeight="1" x14ac:dyDescent="0.2">
      <c r="A17" s="208" t="s">
        <v>179</v>
      </c>
    </row>
    <row r="18" spans="1:8" ht="14.45" customHeight="1" x14ac:dyDescent="0.25">
      <c r="A18" s="354" t="s">
        <v>209</v>
      </c>
      <c r="B18" s="355"/>
      <c r="C18" s="355"/>
      <c r="D18" s="355"/>
      <c r="E18" s="355"/>
      <c r="F18" s="355"/>
      <c r="G18" s="355"/>
      <c r="H18" s="355"/>
    </row>
    <row r="19" spans="1:8" ht="15" x14ac:dyDescent="0.25">
      <c r="A19" s="353" t="s">
        <v>208</v>
      </c>
      <c r="B19" s="355"/>
      <c r="C19" s="355"/>
      <c r="D19" s="355"/>
      <c r="E19" s="355"/>
      <c r="F19" s="355"/>
      <c r="G19" s="355"/>
      <c r="H19" s="355"/>
    </row>
    <row r="20" spans="1:8" ht="14.45" customHeight="1" x14ac:dyDescent="0.2">
      <c r="A20" s="209" t="s">
        <v>229</v>
      </c>
    </row>
    <row r="21" spans="1:8" ht="14.45" customHeight="1" x14ac:dyDescent="0.2">
      <c r="A21" s="209" t="s">
        <v>180</v>
      </c>
    </row>
    <row r="22" spans="1:8" ht="14.45" customHeight="1" x14ac:dyDescent="0.2">
      <c r="A22" s="210" t="s">
        <v>284</v>
      </c>
    </row>
    <row r="23" spans="1:8" ht="14.45" customHeight="1" x14ac:dyDescent="0.2">
      <c r="A23" s="210" t="s">
        <v>181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6" priority="8" operator="greaterThan">
      <formula>0</formula>
    </cfRule>
  </conditionalFormatting>
  <conditionalFormatting sqref="G11:G13 G15">
    <cfRule type="cellIs" dxfId="65" priority="7" operator="lessThan">
      <formula>0</formula>
    </cfRule>
  </conditionalFormatting>
  <conditionalFormatting sqref="H5:H9">
    <cfRule type="cellIs" dxfId="64" priority="6" operator="greaterThan">
      <formula>1</formula>
    </cfRule>
  </conditionalFormatting>
  <conditionalFormatting sqref="H11:H13 H15">
    <cfRule type="cellIs" dxfId="63" priority="5" operator="lessThan">
      <formula>1</formula>
    </cfRule>
  </conditionalFormatting>
  <conditionalFormatting sqref="I11:I13">
    <cfRule type="cellIs" dxfId="62" priority="4" operator="lessThan">
      <formula>0</formula>
    </cfRule>
  </conditionalFormatting>
  <conditionalFormatting sqref="J11:J13">
    <cfRule type="cellIs" dxfId="61" priority="3" operator="lessThan">
      <formula>1</formula>
    </cfRule>
  </conditionalFormatting>
  <hyperlinks>
    <hyperlink ref="A2" location="Obsah!A1" display="Zpět na Obsah  KL 01  1.-4.měsíc" xr:uid="{96BB8D31-AF00-4A9C-A9EA-8876086D2C25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233"/>
    <col min="2" max="13" width="8.85546875" style="233" customWidth="1"/>
    <col min="14" max="16384" width="8.85546875" style="233"/>
  </cols>
  <sheetData>
    <row r="1" spans="1:13" ht="18.600000000000001" customHeight="1" thickBot="1" x14ac:dyDescent="0.35">
      <c r="A1" s="492" t="s">
        <v>114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</row>
    <row r="2" spans="1:13" ht="14.45" customHeight="1" x14ac:dyDescent="0.2">
      <c r="A2" s="666" t="s">
        <v>305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</row>
    <row r="3" spans="1:13" ht="14.45" customHeight="1" x14ac:dyDescent="0.2">
      <c r="A3" s="304"/>
      <c r="B3" s="305" t="s">
        <v>89</v>
      </c>
      <c r="C3" s="306" t="s">
        <v>90</v>
      </c>
      <c r="D3" s="306" t="s">
        <v>91</v>
      </c>
      <c r="E3" s="305" t="s">
        <v>92</v>
      </c>
      <c r="F3" s="306" t="s">
        <v>93</v>
      </c>
      <c r="G3" s="306" t="s">
        <v>94</v>
      </c>
      <c r="H3" s="306" t="s">
        <v>95</v>
      </c>
      <c r="I3" s="306" t="s">
        <v>96</v>
      </c>
      <c r="J3" s="306" t="s">
        <v>97</v>
      </c>
      <c r="K3" s="306" t="s">
        <v>98</v>
      </c>
      <c r="L3" s="306" t="s">
        <v>99</v>
      </c>
      <c r="M3" s="306" t="s">
        <v>100</v>
      </c>
    </row>
    <row r="4" spans="1:13" ht="14.45" customHeight="1" x14ac:dyDescent="0.2">
      <c r="A4" s="304" t="s">
        <v>88</v>
      </c>
      <c r="B4" s="307">
        <f>(B10+B8)/B6</f>
        <v>2.6658553768763065E-2</v>
      </c>
      <c r="C4" s="307">
        <f t="shared" ref="C4:M4" si="0">(C10+C8)/C6</f>
        <v>4.842621468241811E-2</v>
      </c>
      <c r="D4" s="307">
        <f t="shared" si="0"/>
        <v>0.11576559489089418</v>
      </c>
      <c r="E4" s="307">
        <f t="shared" si="0"/>
        <v>0.11534478285583047</v>
      </c>
      <c r="F4" s="307">
        <f t="shared" si="0"/>
        <v>0.15320292341367653</v>
      </c>
      <c r="G4" s="307">
        <f t="shared" si="0"/>
        <v>0.14729946374425196</v>
      </c>
      <c r="H4" s="307">
        <f t="shared" si="0"/>
        <v>0.17213229646456976</v>
      </c>
      <c r="I4" s="307">
        <f t="shared" si="0"/>
        <v>0.16833499670626426</v>
      </c>
      <c r="J4" s="307">
        <f t="shared" si="0"/>
        <v>0.1711267799080452</v>
      </c>
      <c r="K4" s="307">
        <f t="shared" si="0"/>
        <v>0.16452633968830974</v>
      </c>
      <c r="L4" s="307">
        <f t="shared" si="0"/>
        <v>0.16555690887064628</v>
      </c>
      <c r="M4" s="307">
        <f t="shared" si="0"/>
        <v>0.1637923805822559</v>
      </c>
    </row>
    <row r="5" spans="1:13" ht="14.45" customHeight="1" x14ac:dyDescent="0.2">
      <c r="A5" s="308" t="s">
        <v>40</v>
      </c>
      <c r="B5" s="307">
        <f>IF(ISERROR(VLOOKUP($A5,'Man Tab'!$A:$Q,COLUMN()+2,0)),0,VLOOKUP($A5,'Man Tab'!$A:$Q,COLUMN()+2,0))</f>
        <v>6432.4569700000102</v>
      </c>
      <c r="C5" s="307">
        <f>IF(ISERROR(VLOOKUP($A5,'Man Tab'!$A:$Q,COLUMN()+2,0)),0,VLOOKUP($A5,'Man Tab'!$A:$Q,COLUMN()+2,0))</f>
        <v>7061.4740400000101</v>
      </c>
      <c r="D5" s="307">
        <f>IF(ISERROR(VLOOKUP($A5,'Man Tab'!$A:$Q,COLUMN()+2,0)),0,VLOOKUP($A5,'Man Tab'!$A:$Q,COLUMN()+2,0))</f>
        <v>6548.5522699999801</v>
      </c>
      <c r="E5" s="307">
        <f>IF(ISERROR(VLOOKUP($A5,'Man Tab'!$A:$Q,COLUMN()+2,0)),0,VLOOKUP($A5,'Man Tab'!$A:$Q,COLUMN()+2,0))</f>
        <v>7084.8814999999704</v>
      </c>
      <c r="F5" s="307">
        <f>IF(ISERROR(VLOOKUP($A5,'Man Tab'!$A:$Q,COLUMN()+2,0)),0,VLOOKUP($A5,'Man Tab'!$A:$Q,COLUMN()+2,0))</f>
        <v>6877.5346300000001</v>
      </c>
      <c r="G5" s="307">
        <f>IF(ISERROR(VLOOKUP($A5,'Man Tab'!$A:$Q,COLUMN()+2,0)),0,VLOOKUP($A5,'Man Tab'!$A:$Q,COLUMN()+2,0))</f>
        <v>7329.8742899999697</v>
      </c>
      <c r="H5" s="307">
        <f>IF(ISERROR(VLOOKUP($A5,'Man Tab'!$A:$Q,COLUMN()+2,0)),0,VLOOKUP($A5,'Man Tab'!$A:$Q,COLUMN()+2,0))</f>
        <v>8078.9050500000003</v>
      </c>
      <c r="I5" s="307">
        <f>IF(ISERROR(VLOOKUP($A5,'Man Tab'!$A:$Q,COLUMN()+2,0)),0,VLOOKUP($A5,'Man Tab'!$A:$Q,COLUMN()+2,0))</f>
        <v>6866.77502000001</v>
      </c>
      <c r="J5" s="307">
        <f>IF(ISERROR(VLOOKUP($A5,'Man Tab'!$A:$Q,COLUMN()+2,0)),0,VLOOKUP($A5,'Man Tab'!$A:$Q,COLUMN()+2,0))</f>
        <v>7206.8625099999699</v>
      </c>
      <c r="K5" s="307">
        <f>IF(ISERROR(VLOOKUP($A5,'Man Tab'!$A:$Q,COLUMN()+2,0)),0,VLOOKUP($A5,'Man Tab'!$A:$Q,COLUMN()+2,0))</f>
        <v>7950.1205600000003</v>
      </c>
      <c r="L5" s="307">
        <f>IF(ISERROR(VLOOKUP($A5,'Man Tab'!$A:$Q,COLUMN()+2,0)),0,VLOOKUP($A5,'Man Tab'!$A:$Q,COLUMN()+2,0))</f>
        <v>8363.4007700000002</v>
      </c>
      <c r="M5" s="307">
        <f>IF(ISERROR(VLOOKUP($A5,'Man Tab'!$A:$Q,COLUMN()+2,0)),0,VLOOKUP($A5,'Man Tab'!$A:$Q,COLUMN()+2,0))</f>
        <v>7761.2940899999903</v>
      </c>
    </row>
    <row r="6" spans="1:13" ht="14.45" customHeight="1" x14ac:dyDescent="0.2">
      <c r="A6" s="308" t="s">
        <v>84</v>
      </c>
      <c r="B6" s="309">
        <f>B5</f>
        <v>6432.4569700000102</v>
      </c>
      <c r="C6" s="309">
        <f t="shared" ref="C6:M6" si="1">C5+B6</f>
        <v>13493.93101000002</v>
      </c>
      <c r="D6" s="309">
        <f t="shared" si="1"/>
        <v>20042.48328</v>
      </c>
      <c r="E6" s="309">
        <f t="shared" si="1"/>
        <v>27127.364779999971</v>
      </c>
      <c r="F6" s="309">
        <f t="shared" si="1"/>
        <v>34004.899409999969</v>
      </c>
      <c r="G6" s="309">
        <f t="shared" si="1"/>
        <v>41334.77369999994</v>
      </c>
      <c r="H6" s="309">
        <f t="shared" si="1"/>
        <v>49413.678749999941</v>
      </c>
      <c r="I6" s="309">
        <f t="shared" si="1"/>
        <v>56280.453769999949</v>
      </c>
      <c r="J6" s="309">
        <f t="shared" si="1"/>
        <v>63487.316279999919</v>
      </c>
      <c r="K6" s="309">
        <f t="shared" si="1"/>
        <v>71437.436839999922</v>
      </c>
      <c r="L6" s="309">
        <f t="shared" si="1"/>
        <v>79800.83760999993</v>
      </c>
      <c r="M6" s="309">
        <f t="shared" si="1"/>
        <v>87562.131699999925</v>
      </c>
    </row>
    <row r="7" spans="1:13" ht="14.45" customHeight="1" x14ac:dyDescent="0.2">
      <c r="A7" s="308" t="s">
        <v>112</v>
      </c>
      <c r="B7" s="308">
        <v>5.7160000000000002</v>
      </c>
      <c r="C7" s="308">
        <v>21.782</v>
      </c>
      <c r="D7" s="308">
        <v>77.340999999999994</v>
      </c>
      <c r="E7" s="308">
        <v>104.3</v>
      </c>
      <c r="F7" s="308">
        <v>173.655</v>
      </c>
      <c r="G7" s="308">
        <v>202.953</v>
      </c>
      <c r="H7" s="308">
        <v>283.52300000000002</v>
      </c>
      <c r="I7" s="308">
        <v>315.79899999999998</v>
      </c>
      <c r="J7" s="308">
        <v>362.14600000000002</v>
      </c>
      <c r="K7" s="308">
        <v>391.77800000000002</v>
      </c>
      <c r="L7" s="308">
        <v>440.38600000000002</v>
      </c>
      <c r="M7" s="308">
        <v>478.06700000000001</v>
      </c>
    </row>
    <row r="8" spans="1:13" ht="14.45" customHeight="1" x14ac:dyDescent="0.2">
      <c r="A8" s="308" t="s">
        <v>85</v>
      </c>
      <c r="B8" s="309">
        <f>B7*30</f>
        <v>171.48000000000002</v>
      </c>
      <c r="C8" s="309">
        <f t="shared" ref="C8:M8" si="2">C7*30</f>
        <v>653.46</v>
      </c>
      <c r="D8" s="309">
        <f t="shared" si="2"/>
        <v>2320.23</v>
      </c>
      <c r="E8" s="309">
        <f t="shared" si="2"/>
        <v>3129</v>
      </c>
      <c r="F8" s="309">
        <f t="shared" si="2"/>
        <v>5209.6499999999996</v>
      </c>
      <c r="G8" s="309">
        <f t="shared" si="2"/>
        <v>6088.59</v>
      </c>
      <c r="H8" s="309">
        <f t="shared" si="2"/>
        <v>8505.69</v>
      </c>
      <c r="I8" s="309">
        <f t="shared" si="2"/>
        <v>9473.9699999999993</v>
      </c>
      <c r="J8" s="309">
        <f t="shared" si="2"/>
        <v>10864.380000000001</v>
      </c>
      <c r="K8" s="309">
        <f t="shared" si="2"/>
        <v>11753.34</v>
      </c>
      <c r="L8" s="309">
        <f t="shared" si="2"/>
        <v>13211.58</v>
      </c>
      <c r="M8" s="309">
        <f t="shared" si="2"/>
        <v>14342.01</v>
      </c>
    </row>
    <row r="9" spans="1:13" ht="14.45" customHeight="1" x14ac:dyDescent="0.2">
      <c r="A9" s="308" t="s">
        <v>113</v>
      </c>
      <c r="B9" s="308">
        <v>0</v>
      </c>
      <c r="C9" s="308">
        <v>0</v>
      </c>
      <c r="D9" s="308">
        <v>0</v>
      </c>
      <c r="E9" s="308">
        <v>0</v>
      </c>
      <c r="F9" s="308">
        <v>0</v>
      </c>
      <c r="G9" s="308">
        <v>0</v>
      </c>
      <c r="H9" s="308">
        <v>0</v>
      </c>
      <c r="I9" s="308">
        <v>0</v>
      </c>
      <c r="J9" s="308">
        <v>0</v>
      </c>
      <c r="K9" s="308">
        <v>0</v>
      </c>
      <c r="L9" s="308">
        <v>0</v>
      </c>
      <c r="M9" s="308">
        <v>0</v>
      </c>
    </row>
    <row r="10" spans="1:13" ht="14.45" customHeight="1" x14ac:dyDescent="0.2">
      <c r="A10" s="308" t="s">
        <v>86</v>
      </c>
      <c r="B10" s="309">
        <f>B9/1000</f>
        <v>0</v>
      </c>
      <c r="C10" s="309">
        <f t="shared" ref="C10:M10" si="3">C9/1000+B10</f>
        <v>0</v>
      </c>
      <c r="D10" s="309">
        <f t="shared" si="3"/>
        <v>0</v>
      </c>
      <c r="E10" s="309">
        <f t="shared" si="3"/>
        <v>0</v>
      </c>
      <c r="F10" s="309">
        <f t="shared" si="3"/>
        <v>0</v>
      </c>
      <c r="G10" s="309">
        <f t="shared" si="3"/>
        <v>0</v>
      </c>
      <c r="H10" s="309">
        <f t="shared" si="3"/>
        <v>0</v>
      </c>
      <c r="I10" s="309">
        <f t="shared" si="3"/>
        <v>0</v>
      </c>
      <c r="J10" s="309">
        <f t="shared" si="3"/>
        <v>0</v>
      </c>
      <c r="K10" s="309">
        <f t="shared" si="3"/>
        <v>0</v>
      </c>
      <c r="L10" s="309">
        <f t="shared" si="3"/>
        <v>0</v>
      </c>
      <c r="M10" s="309">
        <f t="shared" si="3"/>
        <v>0</v>
      </c>
    </row>
    <row r="11" spans="1:13" ht="14.45" customHeight="1" x14ac:dyDescent="0.2">
      <c r="A11" s="304"/>
      <c r="B11" s="304" t="s">
        <v>102</v>
      </c>
      <c r="C11" s="304">
        <f ca="1">IF(MONTH(TODAY())=1,12,MONTH(TODAY())-1)</f>
        <v>1</v>
      </c>
      <c r="D11" s="304"/>
      <c r="E11" s="304"/>
      <c r="F11" s="304"/>
      <c r="G11" s="304"/>
      <c r="H11" s="304"/>
      <c r="I11" s="304"/>
      <c r="J11" s="304"/>
      <c r="K11" s="304"/>
      <c r="L11" s="304"/>
      <c r="M11" s="304"/>
    </row>
    <row r="12" spans="1:13" ht="14.45" customHeight="1" x14ac:dyDescent="0.2">
      <c r="A12" s="304">
        <v>0</v>
      </c>
      <c r="B12" s="307">
        <f>IF(ISERROR(HI!F15),#REF!,HI!F15)</f>
        <v>0.24139113030498388</v>
      </c>
      <c r="C12" s="304"/>
      <c r="D12" s="304"/>
      <c r="E12" s="304"/>
      <c r="F12" s="304"/>
      <c r="G12" s="304"/>
      <c r="H12" s="304"/>
      <c r="I12" s="304"/>
      <c r="J12" s="304"/>
      <c r="K12" s="304"/>
      <c r="L12" s="304"/>
      <c r="M12" s="304"/>
    </row>
    <row r="13" spans="1:13" ht="14.45" customHeight="1" x14ac:dyDescent="0.2">
      <c r="A13" s="304">
        <v>1</v>
      </c>
      <c r="B13" s="307">
        <f>IF(ISERROR(HI!F15),#REF!,HI!F15)</f>
        <v>0.24139113030498388</v>
      </c>
      <c r="C13" s="304"/>
      <c r="D13" s="304"/>
      <c r="E13" s="304"/>
      <c r="F13" s="304"/>
      <c r="G13" s="304"/>
      <c r="H13" s="304"/>
      <c r="I13" s="304"/>
      <c r="J13" s="304"/>
      <c r="K13" s="304"/>
      <c r="L13" s="304"/>
      <c r="M13" s="304"/>
    </row>
  </sheetData>
  <mergeCells count="1">
    <mergeCell ref="A1:M1"/>
  </mergeCells>
  <hyperlinks>
    <hyperlink ref="A2" location="Obsah!A1" display="Zpět na Obsah  KL 01  1.-4.měsíc" xr:uid="{9C82205B-D848-4038-91EC-7768E05F40EC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233" bestFit="1" customWidth="1"/>
    <col min="2" max="2" width="12.7109375" style="233" bestFit="1" customWidth="1"/>
    <col min="3" max="3" width="13.7109375" style="233" bestFit="1" customWidth="1"/>
    <col min="4" max="15" width="7.7109375" style="233" bestFit="1" customWidth="1"/>
    <col min="16" max="16" width="8.85546875" style="233" customWidth="1"/>
    <col min="17" max="17" width="6.7109375" style="233" bestFit="1" customWidth="1"/>
    <col min="18" max="16384" width="8.85546875" style="233"/>
  </cols>
  <sheetData>
    <row r="1" spans="1:17" s="310" customFormat="1" ht="18.600000000000001" customHeight="1" thickBot="1" x14ac:dyDescent="0.35">
      <c r="A1" s="504" t="s">
        <v>307</v>
      </c>
      <c r="B1" s="504"/>
      <c r="C1" s="504"/>
      <c r="D1" s="504"/>
      <c r="E1" s="504"/>
      <c r="F1" s="504"/>
      <c r="G1" s="504"/>
      <c r="H1" s="492"/>
      <c r="I1" s="492"/>
      <c r="J1" s="492"/>
      <c r="K1" s="492"/>
      <c r="L1" s="492"/>
      <c r="M1" s="492"/>
      <c r="N1" s="492"/>
      <c r="O1" s="492"/>
      <c r="P1" s="492"/>
      <c r="Q1" s="492"/>
    </row>
    <row r="2" spans="1:17" s="310" customFormat="1" ht="14.45" customHeight="1" thickBot="1" x14ac:dyDescent="0.25">
      <c r="A2" s="666" t="s">
        <v>305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</row>
    <row r="3" spans="1:17" ht="14.45" customHeight="1" x14ac:dyDescent="0.2">
      <c r="A3" s="93"/>
      <c r="B3" s="505" t="s">
        <v>16</v>
      </c>
      <c r="C3" s="506"/>
      <c r="D3" s="506"/>
      <c r="E3" s="506"/>
      <c r="F3" s="506"/>
      <c r="G3" s="506"/>
      <c r="H3" s="506"/>
      <c r="I3" s="506"/>
      <c r="J3" s="506"/>
      <c r="K3" s="506"/>
      <c r="L3" s="506"/>
      <c r="M3" s="506"/>
      <c r="N3" s="506"/>
      <c r="O3" s="506"/>
      <c r="P3" s="242"/>
      <c r="Q3" s="244"/>
    </row>
    <row r="4" spans="1:17" ht="14.45" customHeight="1" x14ac:dyDescent="0.2">
      <c r="A4" s="94"/>
      <c r="B4" s="24">
        <v>2019</v>
      </c>
      <c r="C4" s="243" t="s">
        <v>17</v>
      </c>
      <c r="D4" s="386" t="s">
        <v>285</v>
      </c>
      <c r="E4" s="386" t="s">
        <v>286</v>
      </c>
      <c r="F4" s="386" t="s">
        <v>287</v>
      </c>
      <c r="G4" s="386" t="s">
        <v>288</v>
      </c>
      <c r="H4" s="386" t="s">
        <v>289</v>
      </c>
      <c r="I4" s="386" t="s">
        <v>290</v>
      </c>
      <c r="J4" s="386" t="s">
        <v>291</v>
      </c>
      <c r="K4" s="386" t="s">
        <v>292</v>
      </c>
      <c r="L4" s="386" t="s">
        <v>293</v>
      </c>
      <c r="M4" s="386" t="s">
        <v>294</v>
      </c>
      <c r="N4" s="386" t="s">
        <v>295</v>
      </c>
      <c r="O4" s="386" t="s">
        <v>296</v>
      </c>
      <c r="P4" s="507" t="s">
        <v>3</v>
      </c>
      <c r="Q4" s="508"/>
    </row>
    <row r="5" spans="1:17" ht="14.45" customHeight="1" thickBot="1" x14ac:dyDescent="0.25">
      <c r="A5" s="95"/>
      <c r="B5" s="25" t="s">
        <v>18</v>
      </c>
      <c r="C5" s="26" t="s">
        <v>18</v>
      </c>
      <c r="D5" s="26" t="s">
        <v>19</v>
      </c>
      <c r="E5" s="26" t="s">
        <v>19</v>
      </c>
      <c r="F5" s="26" t="s">
        <v>19</v>
      </c>
      <c r="G5" s="26" t="s">
        <v>19</v>
      </c>
      <c r="H5" s="26" t="s">
        <v>19</v>
      </c>
      <c r="I5" s="26" t="s">
        <v>19</v>
      </c>
      <c r="J5" s="26" t="s">
        <v>19</v>
      </c>
      <c r="K5" s="26" t="s">
        <v>19</v>
      </c>
      <c r="L5" s="26" t="s">
        <v>19</v>
      </c>
      <c r="M5" s="26" t="s">
        <v>19</v>
      </c>
      <c r="N5" s="26" t="s">
        <v>19</v>
      </c>
      <c r="O5" s="26" t="s">
        <v>19</v>
      </c>
      <c r="P5" s="26" t="s">
        <v>19</v>
      </c>
      <c r="Q5" s="27" t="s">
        <v>20</v>
      </c>
    </row>
    <row r="6" spans="1:17" ht="14.45" customHeight="1" x14ac:dyDescent="0.2">
      <c r="A6" s="18" t="s">
        <v>21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70" t="s">
        <v>306</v>
      </c>
    </row>
    <row r="7" spans="1:17" ht="14.45" customHeight="1" x14ac:dyDescent="0.2">
      <c r="A7" s="19" t="s">
        <v>22</v>
      </c>
      <c r="B7" s="55">
        <v>10249.998980112199</v>
      </c>
      <c r="C7" s="56">
        <v>854.16658167601599</v>
      </c>
      <c r="D7" s="56">
        <v>645.46749000000102</v>
      </c>
      <c r="E7" s="56">
        <v>812.33944000000201</v>
      </c>
      <c r="F7" s="56">
        <v>602.84003999999902</v>
      </c>
      <c r="G7" s="56">
        <v>914.39883999999597</v>
      </c>
      <c r="H7" s="56">
        <v>850.03584000000001</v>
      </c>
      <c r="I7" s="56">
        <v>832.97730999999703</v>
      </c>
      <c r="J7" s="56">
        <v>623.93751999999995</v>
      </c>
      <c r="K7" s="56">
        <v>778.89978000000099</v>
      </c>
      <c r="L7" s="56">
        <v>599.97696999999698</v>
      </c>
      <c r="M7" s="56">
        <v>1195.8997999999999</v>
      </c>
      <c r="N7" s="56">
        <v>950.25066000000004</v>
      </c>
      <c r="O7" s="56">
        <v>1218.7660699999999</v>
      </c>
      <c r="P7" s="57">
        <v>10025.78976</v>
      </c>
      <c r="Q7" s="171">
        <v>0.97812592756799999</v>
      </c>
    </row>
    <row r="8" spans="1:17" ht="14.45" customHeight="1" x14ac:dyDescent="0.2">
      <c r="A8" s="19" t="s">
        <v>23</v>
      </c>
      <c r="B8" s="55">
        <v>4639.8849833118702</v>
      </c>
      <c r="C8" s="56">
        <v>386.65708194265602</v>
      </c>
      <c r="D8" s="56">
        <v>339.270000000001</v>
      </c>
      <c r="E8" s="56">
        <v>597.88000000000102</v>
      </c>
      <c r="F8" s="56">
        <v>386.95999999999901</v>
      </c>
      <c r="G8" s="56">
        <v>336.38999999999902</v>
      </c>
      <c r="H8" s="56">
        <v>351.97</v>
      </c>
      <c r="I8" s="56">
        <v>388.50999999999902</v>
      </c>
      <c r="J8" s="56">
        <v>295.7</v>
      </c>
      <c r="K8" s="56">
        <v>382.47000000000099</v>
      </c>
      <c r="L8" s="56">
        <v>404.40999999999798</v>
      </c>
      <c r="M8" s="56">
        <v>748.48661000000004</v>
      </c>
      <c r="N8" s="56">
        <v>314.93160999999998</v>
      </c>
      <c r="O8" s="56">
        <v>456.26499999999902</v>
      </c>
      <c r="P8" s="57">
        <v>5003.2432200000003</v>
      </c>
      <c r="Q8" s="171">
        <v>1.0783119060049999</v>
      </c>
    </row>
    <row r="9" spans="1:17" ht="14.45" customHeight="1" x14ac:dyDescent="0.2">
      <c r="A9" s="19" t="s">
        <v>24</v>
      </c>
      <c r="B9" s="55">
        <v>4707</v>
      </c>
      <c r="C9" s="56">
        <v>392.25</v>
      </c>
      <c r="D9" s="56">
        <v>445.288440000001</v>
      </c>
      <c r="E9" s="56">
        <v>483.66470000000101</v>
      </c>
      <c r="F9" s="56">
        <v>333.97885999999897</v>
      </c>
      <c r="G9" s="56">
        <v>371.23069999999899</v>
      </c>
      <c r="H9" s="56">
        <v>343.86626000000001</v>
      </c>
      <c r="I9" s="56">
        <v>443.02758999999799</v>
      </c>
      <c r="J9" s="56">
        <v>334.60788000000002</v>
      </c>
      <c r="K9" s="56">
        <v>401.58504000000102</v>
      </c>
      <c r="L9" s="56">
        <v>256.75998999999899</v>
      </c>
      <c r="M9" s="56">
        <v>470.30721</v>
      </c>
      <c r="N9" s="56">
        <v>487.50234999999998</v>
      </c>
      <c r="O9" s="56">
        <v>306.35989999999998</v>
      </c>
      <c r="P9" s="57">
        <v>4678.1789200000003</v>
      </c>
      <c r="Q9" s="171">
        <v>0.99387697471799996</v>
      </c>
    </row>
    <row r="10" spans="1:17" ht="14.45" customHeight="1" x14ac:dyDescent="0.2">
      <c r="A10" s="19" t="s">
        <v>25</v>
      </c>
      <c r="B10" s="55">
        <v>77.894860365529993</v>
      </c>
      <c r="C10" s="56">
        <v>6.4912383637940003</v>
      </c>
      <c r="D10" s="56">
        <v>5.6852799999999997</v>
      </c>
      <c r="E10" s="56">
        <v>5.9559100000000003</v>
      </c>
      <c r="F10" s="56">
        <v>7.7379199999989998</v>
      </c>
      <c r="G10" s="56">
        <v>10.410159999999999</v>
      </c>
      <c r="H10" s="56">
        <v>8.1814999999999998</v>
      </c>
      <c r="I10" s="56">
        <v>10.235810000000001</v>
      </c>
      <c r="J10" s="56">
        <v>9.5587499999999999</v>
      </c>
      <c r="K10" s="56">
        <v>5.8882099999999999</v>
      </c>
      <c r="L10" s="56">
        <v>7.372509999999</v>
      </c>
      <c r="M10" s="56">
        <v>9.2238600000000002</v>
      </c>
      <c r="N10" s="56">
        <v>10.46358</v>
      </c>
      <c r="O10" s="56">
        <v>8.8468799999990004</v>
      </c>
      <c r="P10" s="57">
        <v>99.560369999998997</v>
      </c>
      <c r="Q10" s="171">
        <v>1.278137858297</v>
      </c>
    </row>
    <row r="11" spans="1:17" ht="14.45" customHeight="1" x14ac:dyDescent="0.2">
      <c r="A11" s="19" t="s">
        <v>26</v>
      </c>
      <c r="B11" s="55">
        <v>433.63767207777101</v>
      </c>
      <c r="C11" s="56">
        <v>36.136472673146997</v>
      </c>
      <c r="D11" s="56">
        <v>34.010179999999998</v>
      </c>
      <c r="E11" s="56">
        <v>38.864890000000003</v>
      </c>
      <c r="F11" s="56">
        <v>40.362919999999001</v>
      </c>
      <c r="G11" s="56">
        <v>41.863359999998998</v>
      </c>
      <c r="H11" s="56">
        <v>31.417280000000002</v>
      </c>
      <c r="I11" s="56">
        <v>32.675699999998997</v>
      </c>
      <c r="J11" s="56">
        <v>48.77581</v>
      </c>
      <c r="K11" s="56">
        <v>53.856140000000003</v>
      </c>
      <c r="L11" s="56">
        <v>34.697359999999001</v>
      </c>
      <c r="M11" s="56">
        <v>38.577269999999999</v>
      </c>
      <c r="N11" s="56">
        <v>52.06183</v>
      </c>
      <c r="O11" s="56">
        <v>41.393450000000001</v>
      </c>
      <c r="P11" s="57">
        <v>488.55619000000002</v>
      </c>
      <c r="Q11" s="171">
        <v>1.1266460952499999</v>
      </c>
    </row>
    <row r="12" spans="1:17" ht="14.45" customHeight="1" x14ac:dyDescent="0.2">
      <c r="A12" s="19" t="s">
        <v>27</v>
      </c>
      <c r="B12" s="55">
        <v>58.595854487185001</v>
      </c>
      <c r="C12" s="56">
        <v>4.8829878739319996</v>
      </c>
      <c r="D12" s="56">
        <v>0.23549999999999999</v>
      </c>
      <c r="E12" s="56">
        <v>0.86799999999999999</v>
      </c>
      <c r="F12" s="56">
        <v>78.983399999998994</v>
      </c>
      <c r="G12" s="56">
        <v>0.45169999999900001</v>
      </c>
      <c r="H12" s="56">
        <v>0.17433999999999999</v>
      </c>
      <c r="I12" s="56">
        <v>0</v>
      </c>
      <c r="J12" s="56">
        <v>0</v>
      </c>
      <c r="K12" s="56">
        <v>47.604219999999998</v>
      </c>
      <c r="L12" s="56">
        <v>29.318249999999001</v>
      </c>
      <c r="M12" s="56">
        <v>0</v>
      </c>
      <c r="N12" s="56">
        <v>0.36549999999999999</v>
      </c>
      <c r="O12" s="56">
        <v>0</v>
      </c>
      <c r="P12" s="57">
        <v>158.00091</v>
      </c>
      <c r="Q12" s="171">
        <v>2.696452016661</v>
      </c>
    </row>
    <row r="13" spans="1:17" ht="14.45" customHeight="1" x14ac:dyDescent="0.2">
      <c r="A13" s="19" t="s">
        <v>28</v>
      </c>
      <c r="B13" s="55">
        <v>165.068010495973</v>
      </c>
      <c r="C13" s="56">
        <v>13.755667541331</v>
      </c>
      <c r="D13" s="56">
        <v>24.480640000000001</v>
      </c>
      <c r="E13" s="56">
        <v>26.249210000000001</v>
      </c>
      <c r="F13" s="56">
        <v>8.7287299999990005</v>
      </c>
      <c r="G13" s="56">
        <v>19.296249999998999</v>
      </c>
      <c r="H13" s="56">
        <v>10.127330000000001</v>
      </c>
      <c r="I13" s="56">
        <v>11.93496</v>
      </c>
      <c r="J13" s="56">
        <v>10.843730000000001</v>
      </c>
      <c r="K13" s="56">
        <v>11.732559999999999</v>
      </c>
      <c r="L13" s="56">
        <v>7.1770299999990002</v>
      </c>
      <c r="M13" s="56">
        <v>21.99991</v>
      </c>
      <c r="N13" s="56">
        <v>14.32498</v>
      </c>
      <c r="O13" s="56">
        <v>18.054670000000002</v>
      </c>
      <c r="P13" s="57">
        <v>184.95</v>
      </c>
      <c r="Q13" s="171">
        <v>1.1204472595520001</v>
      </c>
    </row>
    <row r="14" spans="1:17" ht="14.45" customHeight="1" x14ac:dyDescent="0.2">
      <c r="A14" s="19" t="s">
        <v>29</v>
      </c>
      <c r="B14" s="55">
        <v>337.26245852020202</v>
      </c>
      <c r="C14" s="56">
        <v>28.105204876683</v>
      </c>
      <c r="D14" s="56">
        <v>41.313000000000002</v>
      </c>
      <c r="E14" s="56">
        <v>33.494</v>
      </c>
      <c r="F14" s="56">
        <v>31.668999999998999</v>
      </c>
      <c r="G14" s="56">
        <v>26.204999999999</v>
      </c>
      <c r="H14" s="56">
        <v>25.138999999999999</v>
      </c>
      <c r="I14" s="56">
        <v>21.791999999999</v>
      </c>
      <c r="J14" s="56">
        <v>20.945</v>
      </c>
      <c r="K14" s="56">
        <v>21.206</v>
      </c>
      <c r="L14" s="56">
        <v>21.601999999998998</v>
      </c>
      <c r="M14" s="56">
        <v>28.173999999999999</v>
      </c>
      <c r="N14" s="56">
        <v>31.065000000000001</v>
      </c>
      <c r="O14" s="56">
        <v>35.576000000000001</v>
      </c>
      <c r="P14" s="57">
        <v>338.18</v>
      </c>
      <c r="Q14" s="171">
        <v>1.002720556221</v>
      </c>
    </row>
    <row r="15" spans="1:17" ht="14.45" customHeight="1" x14ac:dyDescent="0.2">
      <c r="A15" s="19" t="s">
        <v>30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71" t="s">
        <v>306</v>
      </c>
    </row>
    <row r="16" spans="1:17" ht="14.45" customHeight="1" x14ac:dyDescent="0.2">
      <c r="A16" s="19" t="s">
        <v>31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71" t="s">
        <v>306</v>
      </c>
    </row>
    <row r="17" spans="1:17" ht="14.45" customHeight="1" x14ac:dyDescent="0.2">
      <c r="A17" s="19" t="s">
        <v>32</v>
      </c>
      <c r="B17" s="55">
        <v>484.32665285721902</v>
      </c>
      <c r="C17" s="56">
        <v>40.360554404768003</v>
      </c>
      <c r="D17" s="56">
        <v>28.707129999999999</v>
      </c>
      <c r="E17" s="56">
        <v>142.04673</v>
      </c>
      <c r="F17" s="56">
        <v>38.454679999999001</v>
      </c>
      <c r="G17" s="56">
        <v>115.83682</v>
      </c>
      <c r="H17" s="56">
        <v>72.296869999999998</v>
      </c>
      <c r="I17" s="56">
        <v>304.71588999999898</v>
      </c>
      <c r="J17" s="56">
        <v>29.305399999999999</v>
      </c>
      <c r="K17" s="56">
        <v>150.85937999999999</v>
      </c>
      <c r="L17" s="56">
        <v>104.47604</v>
      </c>
      <c r="M17" s="56">
        <v>171.64051000000001</v>
      </c>
      <c r="N17" s="56">
        <v>161.25628</v>
      </c>
      <c r="O17" s="56">
        <v>18.44041</v>
      </c>
      <c r="P17" s="57">
        <v>1338.0361399999999</v>
      </c>
      <c r="Q17" s="171">
        <v>2.7626729441919999</v>
      </c>
    </row>
    <row r="18" spans="1:17" ht="14.45" customHeight="1" x14ac:dyDescent="0.2">
      <c r="A18" s="19" t="s">
        <v>33</v>
      </c>
      <c r="B18" s="55">
        <v>0</v>
      </c>
      <c r="C18" s="56">
        <v>0</v>
      </c>
      <c r="D18" s="56">
        <v>0</v>
      </c>
      <c r="E18" s="56">
        <v>11.484</v>
      </c>
      <c r="F18" s="56">
        <v>5.6219999999989998</v>
      </c>
      <c r="G18" s="56">
        <v>10.766</v>
      </c>
      <c r="H18" s="56">
        <v>-4.5129999999999999</v>
      </c>
      <c r="I18" s="56">
        <v>7.813999999999</v>
      </c>
      <c r="J18" s="56">
        <v>0</v>
      </c>
      <c r="K18" s="56">
        <v>0</v>
      </c>
      <c r="L18" s="56">
        <v>4.4219999999989996</v>
      </c>
      <c r="M18" s="56">
        <v>1.218</v>
      </c>
      <c r="N18" s="56">
        <v>0</v>
      </c>
      <c r="O18" s="56">
        <v>0.76999999999900004</v>
      </c>
      <c r="P18" s="57">
        <v>37.582999999998997</v>
      </c>
      <c r="Q18" s="171" t="s">
        <v>306</v>
      </c>
    </row>
    <row r="19" spans="1:17" ht="14.45" customHeight="1" x14ac:dyDescent="0.2">
      <c r="A19" s="19" t="s">
        <v>34</v>
      </c>
      <c r="B19" s="55">
        <v>850.52438545665802</v>
      </c>
      <c r="C19" s="56">
        <v>70.877032121387998</v>
      </c>
      <c r="D19" s="56">
        <v>97.779799999999994</v>
      </c>
      <c r="E19" s="56">
        <v>65.97784</v>
      </c>
      <c r="F19" s="56">
        <v>48.135919999998997</v>
      </c>
      <c r="G19" s="56">
        <v>122.61897</v>
      </c>
      <c r="H19" s="56">
        <v>91.120090000000005</v>
      </c>
      <c r="I19" s="56">
        <v>81.884799999999004</v>
      </c>
      <c r="J19" s="56">
        <v>164.05825999999999</v>
      </c>
      <c r="K19" s="56">
        <v>104.00785999999999</v>
      </c>
      <c r="L19" s="56">
        <v>150.93857999999901</v>
      </c>
      <c r="M19" s="56">
        <v>199.20231999999999</v>
      </c>
      <c r="N19" s="56">
        <v>169.14418000000001</v>
      </c>
      <c r="O19" s="56">
        <v>188.27973</v>
      </c>
      <c r="P19" s="57">
        <v>1483.1483499999999</v>
      </c>
      <c r="Q19" s="171">
        <v>1.743804616729</v>
      </c>
    </row>
    <row r="20" spans="1:17" ht="14.45" customHeight="1" x14ac:dyDescent="0.2">
      <c r="A20" s="19" t="s">
        <v>35</v>
      </c>
      <c r="B20" s="55">
        <v>58551.690292000101</v>
      </c>
      <c r="C20" s="56">
        <v>4879.3075243333396</v>
      </c>
      <c r="D20" s="56">
        <v>4562.2359100000103</v>
      </c>
      <c r="E20" s="56">
        <v>4660.5370900000098</v>
      </c>
      <c r="F20" s="56">
        <v>4782.8452799999905</v>
      </c>
      <c r="G20" s="56">
        <v>4924.1079399999799</v>
      </c>
      <c r="H20" s="56">
        <v>4925.6831099999999</v>
      </c>
      <c r="I20" s="56">
        <v>5009.7132299999803</v>
      </c>
      <c r="J20" s="56">
        <v>6363.5371800000003</v>
      </c>
      <c r="K20" s="56">
        <v>4691.0597700000098</v>
      </c>
      <c r="L20" s="56">
        <v>5406.3916099999797</v>
      </c>
      <c r="M20" s="56">
        <v>4887.1674999999996</v>
      </c>
      <c r="N20" s="56">
        <v>5990.7986899999996</v>
      </c>
      <c r="O20" s="56">
        <v>5281.1443899999904</v>
      </c>
      <c r="P20" s="57">
        <v>61485.2216999999</v>
      </c>
      <c r="Q20" s="171">
        <v>1.050101566553</v>
      </c>
    </row>
    <row r="21" spans="1:17" ht="14.45" customHeight="1" x14ac:dyDescent="0.2">
      <c r="A21" s="20" t="s">
        <v>36</v>
      </c>
      <c r="B21" s="55">
        <v>2246.99999999997</v>
      </c>
      <c r="C21" s="56">
        <v>187.24999999999699</v>
      </c>
      <c r="D21" s="56">
        <v>177.58709999999999</v>
      </c>
      <c r="E21" s="56">
        <v>177.63480999999999</v>
      </c>
      <c r="F21" s="56">
        <v>181.73178999999999</v>
      </c>
      <c r="G21" s="56">
        <v>177.63480999999899</v>
      </c>
      <c r="H21" s="56">
        <v>177.63481999999999</v>
      </c>
      <c r="I21" s="56">
        <v>177.634819999999</v>
      </c>
      <c r="J21" s="56">
        <v>177.63481999999999</v>
      </c>
      <c r="K21" s="56">
        <v>177.60615999999999</v>
      </c>
      <c r="L21" s="56">
        <v>179.31926999999899</v>
      </c>
      <c r="M21" s="56">
        <v>178.22361000000001</v>
      </c>
      <c r="N21" s="56">
        <v>181.23611</v>
      </c>
      <c r="O21" s="56">
        <v>181.26390000000001</v>
      </c>
      <c r="P21" s="57">
        <v>2145.1420199999998</v>
      </c>
      <c r="Q21" s="171">
        <v>0.95466934579399998</v>
      </c>
    </row>
    <row r="22" spans="1:17" ht="14.45" customHeight="1" x14ac:dyDescent="0.2">
      <c r="A22" s="19" t="s">
        <v>37</v>
      </c>
      <c r="B22" s="55">
        <v>49</v>
      </c>
      <c r="C22" s="56">
        <v>4.083333333333</v>
      </c>
      <c r="D22" s="56">
        <v>0</v>
      </c>
      <c r="E22" s="56">
        <v>4.4770000000000003</v>
      </c>
      <c r="F22" s="56">
        <v>0</v>
      </c>
      <c r="G22" s="56">
        <v>7.7439999999989997</v>
      </c>
      <c r="H22" s="56">
        <v>0</v>
      </c>
      <c r="I22" s="56">
        <v>0</v>
      </c>
      <c r="J22" s="56">
        <v>0</v>
      </c>
      <c r="K22" s="56">
        <v>39.999000000000002</v>
      </c>
      <c r="L22" s="56">
        <v>0</v>
      </c>
      <c r="M22" s="56">
        <v>0</v>
      </c>
      <c r="N22" s="56">
        <v>0</v>
      </c>
      <c r="O22" s="56">
        <v>0</v>
      </c>
      <c r="P22" s="57">
        <v>52.22</v>
      </c>
      <c r="Q22" s="171">
        <v>1.0657142857140001</v>
      </c>
    </row>
    <row r="23" spans="1:17" ht="14.45" customHeight="1" x14ac:dyDescent="0.2">
      <c r="A23" s="20" t="s">
        <v>38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71" t="s">
        <v>306</v>
      </c>
    </row>
    <row r="24" spans="1:17" ht="14.45" customHeight="1" x14ac:dyDescent="0.2">
      <c r="A24" s="20" t="s">
        <v>39</v>
      </c>
      <c r="B24" s="55">
        <v>-1.45519152283669E-11</v>
      </c>
      <c r="C24" s="56">
        <v>-9.0949470177292804E-13</v>
      </c>
      <c r="D24" s="56">
        <v>30.396499999997999</v>
      </c>
      <c r="E24" s="56">
        <v>4.2000000100000001E-4</v>
      </c>
      <c r="F24" s="56">
        <v>0.50172999999900003</v>
      </c>
      <c r="G24" s="56">
        <v>5.9269499999989996</v>
      </c>
      <c r="H24" s="56">
        <v>-5.5988099999990002</v>
      </c>
      <c r="I24" s="56">
        <v>6.9581799999990004</v>
      </c>
      <c r="J24" s="56">
        <v>6.9999999999999999E-4</v>
      </c>
      <c r="K24" s="56">
        <v>8.9999999999999998E-4</v>
      </c>
      <c r="L24" s="56">
        <v>8.9999999899999998E-4</v>
      </c>
      <c r="M24" s="56">
        <v>-3.9999998080020298E-5</v>
      </c>
      <c r="N24" s="56">
        <v>0</v>
      </c>
      <c r="O24" s="56">
        <v>6.1336899999999996</v>
      </c>
      <c r="P24" s="57">
        <v>44.321120000001997</v>
      </c>
      <c r="Q24" s="171"/>
    </row>
    <row r="25" spans="1:17" ht="14.45" customHeight="1" x14ac:dyDescent="0.2">
      <c r="A25" s="21" t="s">
        <v>40</v>
      </c>
      <c r="B25" s="58">
        <v>82851.8841496846</v>
      </c>
      <c r="C25" s="59">
        <v>6904.3236791403797</v>
      </c>
      <c r="D25" s="59">
        <v>6432.4569700000102</v>
      </c>
      <c r="E25" s="59">
        <v>7061.4740400000101</v>
      </c>
      <c r="F25" s="59">
        <v>6548.5522699999801</v>
      </c>
      <c r="G25" s="59">
        <v>7084.8814999999704</v>
      </c>
      <c r="H25" s="59">
        <v>6877.5346300000001</v>
      </c>
      <c r="I25" s="59">
        <v>7329.8742899999697</v>
      </c>
      <c r="J25" s="59">
        <v>8078.9050500000003</v>
      </c>
      <c r="K25" s="59">
        <v>6866.77502000001</v>
      </c>
      <c r="L25" s="59">
        <v>7206.8625099999699</v>
      </c>
      <c r="M25" s="59">
        <v>7950.1205600000003</v>
      </c>
      <c r="N25" s="59">
        <v>8363.4007700000002</v>
      </c>
      <c r="O25" s="59">
        <v>7761.2940899999903</v>
      </c>
      <c r="P25" s="60">
        <v>87562.131699999998</v>
      </c>
      <c r="Q25" s="172">
        <v>1.0568514234599999</v>
      </c>
    </row>
    <row r="26" spans="1:17" ht="14.45" customHeight="1" x14ac:dyDescent="0.2">
      <c r="A26" s="19" t="s">
        <v>41</v>
      </c>
      <c r="B26" s="55">
        <v>7233.1526947207703</v>
      </c>
      <c r="C26" s="56">
        <v>602.76272456006404</v>
      </c>
      <c r="D26" s="56">
        <v>734.75474000000099</v>
      </c>
      <c r="E26" s="56">
        <v>870.84751000000006</v>
      </c>
      <c r="F26" s="56">
        <v>732.91001000000097</v>
      </c>
      <c r="G26" s="56">
        <v>942.29920000000004</v>
      </c>
      <c r="H26" s="56">
        <v>727.17981999999995</v>
      </c>
      <c r="I26" s="56">
        <v>890.35152000000005</v>
      </c>
      <c r="J26" s="56">
        <v>879.07894999999996</v>
      </c>
      <c r="K26" s="56">
        <v>703.80355999999995</v>
      </c>
      <c r="L26" s="56">
        <v>751.99093000000005</v>
      </c>
      <c r="M26" s="56">
        <v>867.49473999999998</v>
      </c>
      <c r="N26" s="56">
        <v>672.45348000000001</v>
      </c>
      <c r="O26" s="56">
        <v>794.04700000000105</v>
      </c>
      <c r="P26" s="57">
        <v>9567.2114600000004</v>
      </c>
      <c r="Q26" s="171">
        <v>1.3226889938299999</v>
      </c>
    </row>
    <row r="27" spans="1:17" ht="14.45" customHeight="1" x14ac:dyDescent="0.2">
      <c r="A27" s="22" t="s">
        <v>42</v>
      </c>
      <c r="B27" s="58">
        <v>90085.036844405404</v>
      </c>
      <c r="C27" s="59">
        <v>7507.0864037004503</v>
      </c>
      <c r="D27" s="59">
        <v>7167.2117100000196</v>
      </c>
      <c r="E27" s="59">
        <v>7932.3215500000197</v>
      </c>
      <c r="F27" s="59">
        <v>7281.4622799999797</v>
      </c>
      <c r="G27" s="59">
        <v>8027.1806999999699</v>
      </c>
      <c r="H27" s="59">
        <v>7604.7144500000004</v>
      </c>
      <c r="I27" s="59">
        <v>8220.2258099999708</v>
      </c>
      <c r="J27" s="59">
        <v>8957.9840000000004</v>
      </c>
      <c r="K27" s="59">
        <v>7570.5785800000103</v>
      </c>
      <c r="L27" s="59">
        <v>7958.8534399999699</v>
      </c>
      <c r="M27" s="59">
        <v>8817.6152999999995</v>
      </c>
      <c r="N27" s="59">
        <v>9035.8542500000003</v>
      </c>
      <c r="O27" s="59">
        <v>8555.3410899999908</v>
      </c>
      <c r="P27" s="60">
        <v>97129.343159999902</v>
      </c>
      <c r="Q27" s="172">
        <v>1.078196186207</v>
      </c>
    </row>
    <row r="28" spans="1:17" ht="14.45" customHeight="1" x14ac:dyDescent="0.2">
      <c r="A28" s="20" t="s">
        <v>43</v>
      </c>
      <c r="B28" s="55">
        <v>97.663704518239001</v>
      </c>
      <c r="C28" s="56">
        <v>8.1386420431859996</v>
      </c>
      <c r="D28" s="56">
        <v>0</v>
      </c>
      <c r="E28" s="56">
        <v>70.082359999998999</v>
      </c>
      <c r="F28" s="56">
        <v>0.35619000000000001</v>
      </c>
      <c r="G28" s="56">
        <v>0</v>
      </c>
      <c r="H28" s="56">
        <v>13.47357</v>
      </c>
      <c r="I28" s="56">
        <v>0</v>
      </c>
      <c r="J28" s="56">
        <v>80.032769999999999</v>
      </c>
      <c r="K28" s="56">
        <v>0</v>
      </c>
      <c r="L28" s="56">
        <v>0</v>
      </c>
      <c r="M28" s="56">
        <v>0</v>
      </c>
      <c r="N28" s="56">
        <v>0</v>
      </c>
      <c r="O28" s="56">
        <v>315.72152</v>
      </c>
      <c r="P28" s="57">
        <v>479.66640999999998</v>
      </c>
      <c r="Q28" s="171">
        <v>4.9114091295850004</v>
      </c>
    </row>
    <row r="29" spans="1:17" ht="14.45" customHeight="1" x14ac:dyDescent="0.2">
      <c r="A29" s="20" t="s">
        <v>44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71" t="s">
        <v>306</v>
      </c>
    </row>
    <row r="30" spans="1:17" ht="14.45" customHeight="1" x14ac:dyDescent="0.2">
      <c r="A30" s="20" t="s">
        <v>45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71">
        <v>0</v>
      </c>
    </row>
    <row r="31" spans="1:17" ht="14.45" customHeight="1" thickBot="1" x14ac:dyDescent="0.25">
      <c r="A31" s="23" t="s">
        <v>46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73" t="s">
        <v>306</v>
      </c>
    </row>
    <row r="32" spans="1:17" ht="14.45" customHeight="1" x14ac:dyDescent="0.2">
      <c r="B32" s="234"/>
      <c r="C32" s="234"/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</row>
    <row r="33" spans="1:17" ht="14.45" customHeight="1" x14ac:dyDescent="0.2">
      <c r="A33" s="208" t="s">
        <v>179</v>
      </c>
      <c r="B33" s="235"/>
      <c r="C33" s="235"/>
      <c r="D33" s="235"/>
      <c r="E33" s="235"/>
      <c r="F33" s="235"/>
      <c r="G33" s="235"/>
      <c r="H33" s="235"/>
      <c r="I33" s="235"/>
      <c r="J33" s="235"/>
      <c r="K33" s="235"/>
      <c r="L33" s="235"/>
      <c r="M33" s="235"/>
      <c r="N33" s="235"/>
      <c r="O33" s="235"/>
      <c r="P33" s="235"/>
      <c r="Q33" s="235"/>
    </row>
    <row r="34" spans="1:17" ht="14.45" customHeight="1" x14ac:dyDescent="0.2">
      <c r="A34" s="239" t="s">
        <v>283</v>
      </c>
      <c r="B34" s="235"/>
      <c r="C34" s="235"/>
      <c r="D34" s="235"/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</row>
    <row r="35" spans="1:17" ht="14.45" customHeight="1" x14ac:dyDescent="0.2">
      <c r="A35" s="240" t="s">
        <v>47</v>
      </c>
      <c r="B35" s="235"/>
      <c r="C35" s="235"/>
      <c r="D35" s="235"/>
      <c r="E35" s="235"/>
      <c r="F35" s="235"/>
      <c r="G35" s="235"/>
      <c r="H35" s="235"/>
      <c r="I35" s="235"/>
      <c r="J35" s="235"/>
      <c r="K35" s="235"/>
      <c r="L35" s="235"/>
      <c r="M35" s="235"/>
      <c r="N35" s="235"/>
      <c r="O35" s="235"/>
      <c r="P35" s="235"/>
      <c r="Q35" s="235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36F5F588-CBCE-4F76-8C9F-499918AD92CD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22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233" customWidth="1"/>
    <col min="2" max="11" width="10" style="233" customWidth="1"/>
    <col min="12" max="16384" width="8.85546875" style="233"/>
  </cols>
  <sheetData>
    <row r="1" spans="1:11" s="64" customFormat="1" ht="18.600000000000001" customHeight="1" thickBot="1" x14ac:dyDescent="0.35">
      <c r="A1" s="504" t="s">
        <v>48</v>
      </c>
      <c r="B1" s="504"/>
      <c r="C1" s="504"/>
      <c r="D1" s="504"/>
      <c r="E1" s="504"/>
      <c r="F1" s="504"/>
      <c r="G1" s="504"/>
      <c r="H1" s="509"/>
      <c r="I1" s="509"/>
      <c r="J1" s="509"/>
      <c r="K1" s="509"/>
    </row>
    <row r="2" spans="1:11" s="64" customFormat="1" ht="14.45" customHeight="1" thickBot="1" x14ac:dyDescent="0.25">
      <c r="A2" s="666" t="s">
        <v>305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5" customHeight="1" x14ac:dyDescent="0.2">
      <c r="A3" s="93"/>
      <c r="B3" s="505" t="s">
        <v>49</v>
      </c>
      <c r="C3" s="506"/>
      <c r="D3" s="506"/>
      <c r="E3" s="506"/>
      <c r="F3" s="512" t="s">
        <v>50</v>
      </c>
      <c r="G3" s="506"/>
      <c r="H3" s="506"/>
      <c r="I3" s="506"/>
      <c r="J3" s="506"/>
      <c r="K3" s="513"/>
    </row>
    <row r="4" spans="1:11" ht="14.45" customHeight="1" x14ac:dyDescent="0.2">
      <c r="A4" s="94"/>
      <c r="B4" s="510"/>
      <c r="C4" s="511"/>
      <c r="D4" s="511"/>
      <c r="E4" s="511"/>
      <c r="F4" s="514" t="s">
        <v>301</v>
      </c>
      <c r="G4" s="516" t="s">
        <v>51</v>
      </c>
      <c r="H4" s="245" t="s">
        <v>166</v>
      </c>
      <c r="I4" s="514" t="s">
        <v>52</v>
      </c>
      <c r="J4" s="516" t="s">
        <v>303</v>
      </c>
      <c r="K4" s="517" t="s">
        <v>304</v>
      </c>
    </row>
    <row r="5" spans="1:11" ht="39" thickBot="1" x14ac:dyDescent="0.25">
      <c r="A5" s="95"/>
      <c r="B5" s="28" t="s">
        <v>297</v>
      </c>
      <c r="C5" s="29" t="s">
        <v>298</v>
      </c>
      <c r="D5" s="30" t="s">
        <v>299</v>
      </c>
      <c r="E5" s="30" t="s">
        <v>300</v>
      </c>
      <c r="F5" s="515"/>
      <c r="G5" s="515"/>
      <c r="H5" s="29" t="s">
        <v>302</v>
      </c>
      <c r="I5" s="515"/>
      <c r="J5" s="515"/>
      <c r="K5" s="518"/>
    </row>
    <row r="6" spans="1:11" ht="14.45" customHeight="1" thickBot="1" x14ac:dyDescent="0.25">
      <c r="A6" s="685" t="s">
        <v>308</v>
      </c>
      <c r="B6" s="667">
        <v>73352.358620825602</v>
      </c>
      <c r="C6" s="667">
        <v>78999.584630000201</v>
      </c>
      <c r="D6" s="668">
        <v>5647.2260091745802</v>
      </c>
      <c r="E6" s="669">
        <v>1.0769876540479999</v>
      </c>
      <c r="F6" s="667">
        <v>82851.8841496846</v>
      </c>
      <c r="G6" s="668">
        <v>82851.8841496846</v>
      </c>
      <c r="H6" s="670">
        <v>7761.2940899999903</v>
      </c>
      <c r="I6" s="667">
        <v>87562.131699999998</v>
      </c>
      <c r="J6" s="668">
        <v>4710.24755031534</v>
      </c>
      <c r="K6" s="671">
        <v>1.0568514234599999</v>
      </c>
    </row>
    <row r="7" spans="1:11" ht="14.45" customHeight="1" thickBot="1" x14ac:dyDescent="0.25">
      <c r="A7" s="686" t="s">
        <v>309</v>
      </c>
      <c r="B7" s="667">
        <v>20133.9597225543</v>
      </c>
      <c r="C7" s="667">
        <v>21121.801039999998</v>
      </c>
      <c r="D7" s="668">
        <v>987.84131744571596</v>
      </c>
      <c r="E7" s="669">
        <v>1.049063439634</v>
      </c>
      <c r="F7" s="667">
        <v>20669.3428193707</v>
      </c>
      <c r="G7" s="668">
        <v>20669.3428193707</v>
      </c>
      <c r="H7" s="670">
        <v>2085.2616600000001</v>
      </c>
      <c r="I7" s="667">
        <v>20976.862089999999</v>
      </c>
      <c r="J7" s="668">
        <v>307.51927062926899</v>
      </c>
      <c r="K7" s="671">
        <v>1.0148780381310001</v>
      </c>
    </row>
    <row r="8" spans="1:11" ht="14.45" customHeight="1" thickBot="1" x14ac:dyDescent="0.25">
      <c r="A8" s="687" t="s">
        <v>310</v>
      </c>
      <c r="B8" s="667">
        <v>19838.922599903199</v>
      </c>
      <c r="C8" s="667">
        <v>20831.080040000001</v>
      </c>
      <c r="D8" s="668">
        <v>992.15744009688603</v>
      </c>
      <c r="E8" s="669">
        <v>1.050010651289</v>
      </c>
      <c r="F8" s="667">
        <v>20332.080360850501</v>
      </c>
      <c r="G8" s="668">
        <v>20332.080360850501</v>
      </c>
      <c r="H8" s="670">
        <v>2049.6856600000001</v>
      </c>
      <c r="I8" s="667">
        <v>20638.682089999998</v>
      </c>
      <c r="J8" s="668">
        <v>306.60172914947498</v>
      </c>
      <c r="K8" s="671">
        <v>1.0150797028</v>
      </c>
    </row>
    <row r="9" spans="1:11" ht="14.45" customHeight="1" thickBot="1" x14ac:dyDescent="0.25">
      <c r="A9" s="688" t="s">
        <v>311</v>
      </c>
      <c r="B9" s="672">
        <v>0</v>
      </c>
      <c r="C9" s="672">
        <v>8.3700000000000007E-3</v>
      </c>
      <c r="D9" s="673">
        <v>8.3700000000000007E-3</v>
      </c>
      <c r="E9" s="674" t="s">
        <v>306</v>
      </c>
      <c r="F9" s="672">
        <v>0</v>
      </c>
      <c r="G9" s="673">
        <v>0</v>
      </c>
      <c r="H9" s="675">
        <v>-3.1E-4</v>
      </c>
      <c r="I9" s="672">
        <v>6.7199999989999998E-3</v>
      </c>
      <c r="J9" s="673">
        <v>6.7199999989999998E-3</v>
      </c>
      <c r="K9" s="676" t="s">
        <v>306</v>
      </c>
    </row>
    <row r="10" spans="1:11" ht="14.45" customHeight="1" thickBot="1" x14ac:dyDescent="0.25">
      <c r="A10" s="689" t="s">
        <v>312</v>
      </c>
      <c r="B10" s="667">
        <v>0</v>
      </c>
      <c r="C10" s="667">
        <v>8.3700000000000007E-3</v>
      </c>
      <c r="D10" s="668">
        <v>8.3700000000000007E-3</v>
      </c>
      <c r="E10" s="677" t="s">
        <v>306</v>
      </c>
      <c r="F10" s="667">
        <v>0</v>
      </c>
      <c r="G10" s="668">
        <v>0</v>
      </c>
      <c r="H10" s="670">
        <v>-3.1E-4</v>
      </c>
      <c r="I10" s="667">
        <v>6.7199999989999998E-3</v>
      </c>
      <c r="J10" s="668">
        <v>6.7199999989999998E-3</v>
      </c>
      <c r="K10" s="678" t="s">
        <v>306</v>
      </c>
    </row>
    <row r="11" spans="1:11" ht="14.45" customHeight="1" thickBot="1" x14ac:dyDescent="0.25">
      <c r="A11" s="688" t="s">
        <v>313</v>
      </c>
      <c r="B11" s="672">
        <v>10701.626523524699</v>
      </c>
      <c r="C11" s="672">
        <v>10967.659519999999</v>
      </c>
      <c r="D11" s="673">
        <v>266.03299647529502</v>
      </c>
      <c r="E11" s="679">
        <v>1.024859117993</v>
      </c>
      <c r="F11" s="672">
        <v>10249.998980112199</v>
      </c>
      <c r="G11" s="673">
        <v>10249.998980112199</v>
      </c>
      <c r="H11" s="675">
        <v>1218.7660699999999</v>
      </c>
      <c r="I11" s="672">
        <v>10025.78976</v>
      </c>
      <c r="J11" s="673">
        <v>-224.20922011219599</v>
      </c>
      <c r="K11" s="680">
        <v>0.97812592756799999</v>
      </c>
    </row>
    <row r="12" spans="1:11" ht="14.45" customHeight="1" thickBot="1" x14ac:dyDescent="0.25">
      <c r="A12" s="689" t="s">
        <v>314</v>
      </c>
      <c r="B12" s="667">
        <v>4481.7273152226398</v>
      </c>
      <c r="C12" s="667">
        <v>4853.2888300000104</v>
      </c>
      <c r="D12" s="668">
        <v>371.56151477736898</v>
      </c>
      <c r="E12" s="669">
        <v>1.082905872812</v>
      </c>
      <c r="F12" s="667">
        <v>4500</v>
      </c>
      <c r="G12" s="668">
        <v>4500</v>
      </c>
      <c r="H12" s="670">
        <v>499.45344999999901</v>
      </c>
      <c r="I12" s="667">
        <v>4568.9715900000001</v>
      </c>
      <c r="J12" s="668">
        <v>68.971589999996993</v>
      </c>
      <c r="K12" s="671">
        <v>1.01532702</v>
      </c>
    </row>
    <row r="13" spans="1:11" ht="14.45" customHeight="1" thickBot="1" x14ac:dyDescent="0.25">
      <c r="A13" s="689" t="s">
        <v>315</v>
      </c>
      <c r="B13" s="667">
        <v>1945.0702333996201</v>
      </c>
      <c r="C13" s="667">
        <v>2177.9508500000002</v>
      </c>
      <c r="D13" s="668">
        <v>232.88061660038599</v>
      </c>
      <c r="E13" s="669">
        <v>1.1197286414650001</v>
      </c>
      <c r="F13" s="667">
        <v>2070</v>
      </c>
      <c r="G13" s="668">
        <v>2070</v>
      </c>
      <c r="H13" s="670">
        <v>329.67446000000001</v>
      </c>
      <c r="I13" s="667">
        <v>2255.0959499999999</v>
      </c>
      <c r="J13" s="668">
        <v>185.095949999998</v>
      </c>
      <c r="K13" s="671">
        <v>1.0894183333330001</v>
      </c>
    </row>
    <row r="14" spans="1:11" ht="14.45" customHeight="1" thickBot="1" x14ac:dyDescent="0.25">
      <c r="A14" s="689" t="s">
        <v>316</v>
      </c>
      <c r="B14" s="667">
        <v>205.078410466317</v>
      </c>
      <c r="C14" s="667">
        <v>161.52025</v>
      </c>
      <c r="D14" s="668">
        <v>-43.558160466315996</v>
      </c>
      <c r="E14" s="669">
        <v>0.787602408428</v>
      </c>
      <c r="F14" s="667">
        <v>150</v>
      </c>
      <c r="G14" s="668">
        <v>150</v>
      </c>
      <c r="H14" s="670">
        <v>35.577970000000001</v>
      </c>
      <c r="I14" s="667">
        <v>225.89003</v>
      </c>
      <c r="J14" s="668">
        <v>75.890029999999001</v>
      </c>
      <c r="K14" s="671">
        <v>1.505933533333</v>
      </c>
    </row>
    <row r="15" spans="1:11" ht="14.45" customHeight="1" thickBot="1" x14ac:dyDescent="0.25">
      <c r="A15" s="689" t="s">
        <v>317</v>
      </c>
      <c r="B15" s="667">
        <v>1360</v>
      </c>
      <c r="C15" s="667">
        <v>1442.8764000000001</v>
      </c>
      <c r="D15" s="668">
        <v>82.876400000001993</v>
      </c>
      <c r="E15" s="669">
        <v>1.0609385294110001</v>
      </c>
      <c r="F15" s="667">
        <v>1490</v>
      </c>
      <c r="G15" s="668">
        <v>1490</v>
      </c>
      <c r="H15" s="670">
        <v>198.47105999999999</v>
      </c>
      <c r="I15" s="667">
        <v>1259.3805199999999</v>
      </c>
      <c r="J15" s="668">
        <v>-230.619480000001</v>
      </c>
      <c r="K15" s="671">
        <v>0.84522182550299996</v>
      </c>
    </row>
    <row r="16" spans="1:11" ht="14.45" customHeight="1" thickBot="1" x14ac:dyDescent="0.25">
      <c r="A16" s="689" t="s">
        <v>318</v>
      </c>
      <c r="B16" s="667">
        <v>160</v>
      </c>
      <c r="C16" s="667">
        <v>26.18638</v>
      </c>
      <c r="D16" s="668">
        <v>-133.81361999999999</v>
      </c>
      <c r="E16" s="669">
        <v>0.16366487499999999</v>
      </c>
      <c r="F16" s="667">
        <v>49.998980112186999</v>
      </c>
      <c r="G16" s="668">
        <v>49.998980112186999</v>
      </c>
      <c r="H16" s="670">
        <v>63.029899999999003</v>
      </c>
      <c r="I16" s="667">
        <v>273.08760000000001</v>
      </c>
      <c r="J16" s="668">
        <v>223.088619887812</v>
      </c>
      <c r="K16" s="671">
        <v>5.4618634097580001</v>
      </c>
    </row>
    <row r="17" spans="1:11" ht="14.45" customHeight="1" thickBot="1" x14ac:dyDescent="0.25">
      <c r="A17" s="689" t="s">
        <v>319</v>
      </c>
      <c r="B17" s="667">
        <v>1949.8014375682101</v>
      </c>
      <c r="C17" s="667">
        <v>1762.2655199999999</v>
      </c>
      <c r="D17" s="668">
        <v>-187.53591756820401</v>
      </c>
      <c r="E17" s="669">
        <v>0.90381794065999999</v>
      </c>
      <c r="F17" s="667">
        <v>1460</v>
      </c>
      <c r="G17" s="668">
        <v>1460</v>
      </c>
      <c r="H17" s="670">
        <v>71.622749999999002</v>
      </c>
      <c r="I17" s="667">
        <v>991.84510999999895</v>
      </c>
      <c r="J17" s="668">
        <v>-468.15489000000099</v>
      </c>
      <c r="K17" s="671">
        <v>0.67934596575299999</v>
      </c>
    </row>
    <row r="18" spans="1:11" ht="14.45" customHeight="1" thickBot="1" x14ac:dyDescent="0.25">
      <c r="A18" s="689" t="s">
        <v>320</v>
      </c>
      <c r="B18" s="667">
        <v>469.94912686794402</v>
      </c>
      <c r="C18" s="667">
        <v>401.10640000000097</v>
      </c>
      <c r="D18" s="668">
        <v>-68.842726867943</v>
      </c>
      <c r="E18" s="669">
        <v>0.85351025689299997</v>
      </c>
      <c r="F18" s="667">
        <v>380</v>
      </c>
      <c r="G18" s="668">
        <v>380</v>
      </c>
      <c r="H18" s="670">
        <v>3.4451999999999998</v>
      </c>
      <c r="I18" s="667">
        <v>300.80041999999997</v>
      </c>
      <c r="J18" s="668">
        <v>-79.199579999999997</v>
      </c>
      <c r="K18" s="671">
        <v>0.79158005263099995</v>
      </c>
    </row>
    <row r="19" spans="1:11" ht="14.45" customHeight="1" thickBot="1" x14ac:dyDescent="0.25">
      <c r="A19" s="689" t="s">
        <v>321</v>
      </c>
      <c r="B19" s="667">
        <v>130</v>
      </c>
      <c r="C19" s="667">
        <v>142.46489</v>
      </c>
      <c r="D19" s="668">
        <v>12.46489</v>
      </c>
      <c r="E19" s="669">
        <v>1.0958837692300001</v>
      </c>
      <c r="F19" s="667">
        <v>150</v>
      </c>
      <c r="G19" s="668">
        <v>150</v>
      </c>
      <c r="H19" s="670">
        <v>17.49128</v>
      </c>
      <c r="I19" s="667">
        <v>150.71853999999999</v>
      </c>
      <c r="J19" s="668">
        <v>0.71853999999899998</v>
      </c>
      <c r="K19" s="671">
        <v>1.004790266666</v>
      </c>
    </row>
    <row r="20" spans="1:11" ht="14.45" customHeight="1" thickBot="1" x14ac:dyDescent="0.25">
      <c r="A20" s="688" t="s">
        <v>322</v>
      </c>
      <c r="B20" s="672">
        <v>3571.96082227235</v>
      </c>
      <c r="C20" s="672">
        <v>4352.58500000001</v>
      </c>
      <c r="D20" s="673">
        <v>780.62417772765298</v>
      </c>
      <c r="E20" s="679">
        <v>1.2185422003669999</v>
      </c>
      <c r="F20" s="672">
        <v>4639.8849833118702</v>
      </c>
      <c r="G20" s="673">
        <v>4639.8849833118702</v>
      </c>
      <c r="H20" s="675">
        <v>456.26499999999902</v>
      </c>
      <c r="I20" s="672">
        <v>5003.2432200000003</v>
      </c>
      <c r="J20" s="673">
        <v>363.35823668812998</v>
      </c>
      <c r="K20" s="680">
        <v>1.0783119060049999</v>
      </c>
    </row>
    <row r="21" spans="1:11" ht="14.45" customHeight="1" thickBot="1" x14ac:dyDescent="0.25">
      <c r="A21" s="689" t="s">
        <v>323</v>
      </c>
      <c r="B21" s="667">
        <v>3325.7114896776502</v>
      </c>
      <c r="C21" s="667">
        <v>3965.3050000000098</v>
      </c>
      <c r="D21" s="668">
        <v>639.59351032235702</v>
      </c>
      <c r="E21" s="669">
        <v>1.192317797953</v>
      </c>
      <c r="F21" s="667">
        <v>4225.3923842440399</v>
      </c>
      <c r="G21" s="668">
        <v>4225.3923842440399</v>
      </c>
      <c r="H21" s="670">
        <v>431.64499999999998</v>
      </c>
      <c r="I21" s="667">
        <v>4651.4332199999999</v>
      </c>
      <c r="J21" s="668">
        <v>426.04083575595803</v>
      </c>
      <c r="K21" s="671">
        <v>1.1008287034699999</v>
      </c>
    </row>
    <row r="22" spans="1:11" ht="14.45" customHeight="1" thickBot="1" x14ac:dyDescent="0.25">
      <c r="A22" s="689" t="s">
        <v>324</v>
      </c>
      <c r="B22" s="667">
        <v>246.24933259470501</v>
      </c>
      <c r="C22" s="667">
        <v>387.280000000001</v>
      </c>
      <c r="D22" s="668">
        <v>141.03066740529599</v>
      </c>
      <c r="E22" s="669">
        <v>1.5727149223879999</v>
      </c>
      <c r="F22" s="667">
        <v>414.492599067828</v>
      </c>
      <c r="G22" s="668">
        <v>414.492599067828</v>
      </c>
      <c r="H22" s="670">
        <v>24.62</v>
      </c>
      <c r="I22" s="667">
        <v>351.81</v>
      </c>
      <c r="J22" s="668">
        <v>-62.682599067828001</v>
      </c>
      <c r="K22" s="671">
        <v>0.84877269411099998</v>
      </c>
    </row>
    <row r="23" spans="1:11" ht="14.45" customHeight="1" thickBot="1" x14ac:dyDescent="0.25">
      <c r="A23" s="688" t="s">
        <v>325</v>
      </c>
      <c r="B23" s="672">
        <v>4747.3791907794403</v>
      </c>
      <c r="C23" s="672">
        <v>4667.7559700000102</v>
      </c>
      <c r="D23" s="673">
        <v>-79.623220779430994</v>
      </c>
      <c r="E23" s="679">
        <v>0.98322796271799995</v>
      </c>
      <c r="F23" s="672">
        <v>4707</v>
      </c>
      <c r="G23" s="673">
        <v>4707</v>
      </c>
      <c r="H23" s="675">
        <v>306.35989999999998</v>
      </c>
      <c r="I23" s="672">
        <v>4678.1789200000003</v>
      </c>
      <c r="J23" s="673">
        <v>-28.821080000001999</v>
      </c>
      <c r="K23" s="680">
        <v>0.99387697471799996</v>
      </c>
    </row>
    <row r="24" spans="1:11" ht="14.45" customHeight="1" thickBot="1" x14ac:dyDescent="0.25">
      <c r="A24" s="689" t="s">
        <v>326</v>
      </c>
      <c r="B24" s="667">
        <v>500</v>
      </c>
      <c r="C24" s="667">
        <v>469.35457000000099</v>
      </c>
      <c r="D24" s="668">
        <v>-30.645429999998001</v>
      </c>
      <c r="E24" s="669">
        <v>0.93870914000000005</v>
      </c>
      <c r="F24" s="667">
        <v>450</v>
      </c>
      <c r="G24" s="668">
        <v>450</v>
      </c>
      <c r="H24" s="670">
        <v>37.572159999999997</v>
      </c>
      <c r="I24" s="667">
        <v>475.86664000000002</v>
      </c>
      <c r="J24" s="668">
        <v>25.866639999998998</v>
      </c>
      <c r="K24" s="671">
        <v>1.0574814222219999</v>
      </c>
    </row>
    <row r="25" spans="1:11" ht="14.45" customHeight="1" thickBot="1" x14ac:dyDescent="0.25">
      <c r="A25" s="689" t="s">
        <v>327</v>
      </c>
      <c r="B25" s="667">
        <v>1</v>
      </c>
      <c r="C25" s="667">
        <v>0.44219000000000003</v>
      </c>
      <c r="D25" s="668">
        <v>-0.55781000000000003</v>
      </c>
      <c r="E25" s="669">
        <v>0.44219000000000003</v>
      </c>
      <c r="F25" s="667">
        <v>1</v>
      </c>
      <c r="G25" s="668">
        <v>1</v>
      </c>
      <c r="H25" s="670">
        <v>0</v>
      </c>
      <c r="I25" s="667">
        <v>0.46628999999999998</v>
      </c>
      <c r="J25" s="668">
        <v>-0.53370999999900004</v>
      </c>
      <c r="K25" s="671">
        <v>0.46628999999999998</v>
      </c>
    </row>
    <row r="26" spans="1:11" ht="14.45" customHeight="1" thickBot="1" x14ac:dyDescent="0.25">
      <c r="A26" s="689" t="s">
        <v>328</v>
      </c>
      <c r="B26" s="667">
        <v>500</v>
      </c>
      <c r="C26" s="667">
        <v>500.160110000001</v>
      </c>
      <c r="D26" s="668">
        <v>0.16011000000100001</v>
      </c>
      <c r="E26" s="669">
        <v>1.0003202200000001</v>
      </c>
      <c r="F26" s="667">
        <v>510</v>
      </c>
      <c r="G26" s="668">
        <v>510</v>
      </c>
      <c r="H26" s="670">
        <v>25.247170000000001</v>
      </c>
      <c r="I26" s="667">
        <v>463.39670000000001</v>
      </c>
      <c r="J26" s="668">
        <v>-46.603299999999997</v>
      </c>
      <c r="K26" s="671">
        <v>0.90862098039200001</v>
      </c>
    </row>
    <row r="27" spans="1:11" ht="14.45" customHeight="1" thickBot="1" x14ac:dyDescent="0.25">
      <c r="A27" s="689" t="s">
        <v>329</v>
      </c>
      <c r="B27" s="667">
        <v>2750</v>
      </c>
      <c r="C27" s="667">
        <v>2819.49804000001</v>
      </c>
      <c r="D27" s="668">
        <v>69.498040000005005</v>
      </c>
      <c r="E27" s="669">
        <v>1.0252720145450001</v>
      </c>
      <c r="F27" s="667">
        <v>2800</v>
      </c>
      <c r="G27" s="668">
        <v>2800</v>
      </c>
      <c r="H27" s="670">
        <v>169.33849000000001</v>
      </c>
      <c r="I27" s="667">
        <v>2708.6040200000002</v>
      </c>
      <c r="J27" s="668">
        <v>-91.395980000001003</v>
      </c>
      <c r="K27" s="671">
        <v>0.96735857857100005</v>
      </c>
    </row>
    <row r="28" spans="1:11" ht="14.45" customHeight="1" thickBot="1" x14ac:dyDescent="0.25">
      <c r="A28" s="689" t="s">
        <v>330</v>
      </c>
      <c r="B28" s="667">
        <v>200</v>
      </c>
      <c r="C28" s="667">
        <v>143.65316999999999</v>
      </c>
      <c r="D28" s="668">
        <v>-56.346829999999002</v>
      </c>
      <c r="E28" s="669">
        <v>0.71826584999999998</v>
      </c>
      <c r="F28" s="667">
        <v>180</v>
      </c>
      <c r="G28" s="668">
        <v>180</v>
      </c>
      <c r="H28" s="670">
        <v>24.881070000000001</v>
      </c>
      <c r="I28" s="667">
        <v>340.15577999999999</v>
      </c>
      <c r="J28" s="668">
        <v>160.15577999999999</v>
      </c>
      <c r="K28" s="671">
        <v>1.889754333333</v>
      </c>
    </row>
    <row r="29" spans="1:11" ht="14.45" customHeight="1" thickBot="1" x14ac:dyDescent="0.25">
      <c r="A29" s="689" t="s">
        <v>331</v>
      </c>
      <c r="B29" s="667">
        <v>20</v>
      </c>
      <c r="C29" s="667">
        <v>16.133610000000001</v>
      </c>
      <c r="D29" s="668">
        <v>-3.8663899999989999</v>
      </c>
      <c r="E29" s="669">
        <v>0.80668050000000002</v>
      </c>
      <c r="F29" s="667">
        <v>20</v>
      </c>
      <c r="G29" s="668">
        <v>20</v>
      </c>
      <c r="H29" s="670">
        <v>0</v>
      </c>
      <c r="I29" s="667">
        <v>27.160440000000001</v>
      </c>
      <c r="J29" s="668">
        <v>7.1604400000000004</v>
      </c>
      <c r="K29" s="671">
        <v>1.3580220000000001</v>
      </c>
    </row>
    <row r="30" spans="1:11" ht="14.45" customHeight="1" thickBot="1" x14ac:dyDescent="0.25">
      <c r="A30" s="689" t="s">
        <v>332</v>
      </c>
      <c r="B30" s="667">
        <v>40</v>
      </c>
      <c r="C30" s="667">
        <v>29.267720000000001</v>
      </c>
      <c r="D30" s="668">
        <v>-10.732279999999999</v>
      </c>
      <c r="E30" s="669">
        <v>0.73169300000000004</v>
      </c>
      <c r="F30" s="667">
        <v>40</v>
      </c>
      <c r="G30" s="668">
        <v>40</v>
      </c>
      <c r="H30" s="670">
        <v>1.3420000000000001</v>
      </c>
      <c r="I30" s="667">
        <v>27.074780000000001</v>
      </c>
      <c r="J30" s="668">
        <v>-12.925219999999999</v>
      </c>
      <c r="K30" s="671">
        <v>0.67686949999900003</v>
      </c>
    </row>
    <row r="31" spans="1:11" ht="14.45" customHeight="1" thickBot="1" x14ac:dyDescent="0.25">
      <c r="A31" s="689" t="s">
        <v>333</v>
      </c>
      <c r="B31" s="667">
        <v>276</v>
      </c>
      <c r="C31" s="667">
        <v>220.77875</v>
      </c>
      <c r="D31" s="668">
        <v>-55.221249999999003</v>
      </c>
      <c r="E31" s="669">
        <v>0.79992300724599996</v>
      </c>
      <c r="F31" s="667">
        <v>246</v>
      </c>
      <c r="G31" s="668">
        <v>246</v>
      </c>
      <c r="H31" s="670">
        <v>10.343</v>
      </c>
      <c r="I31" s="667">
        <v>208.10473999999999</v>
      </c>
      <c r="J31" s="668">
        <v>-37.89526</v>
      </c>
      <c r="K31" s="671">
        <v>0.84595422764200001</v>
      </c>
    </row>
    <row r="32" spans="1:11" ht="14.45" customHeight="1" thickBot="1" x14ac:dyDescent="0.25">
      <c r="A32" s="689" t="s">
        <v>334</v>
      </c>
      <c r="B32" s="667">
        <v>194</v>
      </c>
      <c r="C32" s="667">
        <v>189.83266</v>
      </c>
      <c r="D32" s="668">
        <v>-4.1673399999990002</v>
      </c>
      <c r="E32" s="669">
        <v>0.97851886597899995</v>
      </c>
      <c r="F32" s="667">
        <v>210</v>
      </c>
      <c r="G32" s="668">
        <v>210</v>
      </c>
      <c r="H32" s="670">
        <v>12.08609</v>
      </c>
      <c r="I32" s="667">
        <v>159.46075999999999</v>
      </c>
      <c r="J32" s="668">
        <v>-50.539239999999999</v>
      </c>
      <c r="K32" s="671">
        <v>0.75933695237999999</v>
      </c>
    </row>
    <row r="33" spans="1:11" ht="14.45" customHeight="1" thickBot="1" x14ac:dyDescent="0.25">
      <c r="A33" s="689" t="s">
        <v>335</v>
      </c>
      <c r="B33" s="667">
        <v>250</v>
      </c>
      <c r="C33" s="667">
        <v>240.64796999999999</v>
      </c>
      <c r="D33" s="668">
        <v>-9.3520299999990009</v>
      </c>
      <c r="E33" s="669">
        <v>0.96259187999999996</v>
      </c>
      <c r="F33" s="667">
        <v>250</v>
      </c>
      <c r="G33" s="668">
        <v>250</v>
      </c>
      <c r="H33" s="670">
        <v>25.54992</v>
      </c>
      <c r="I33" s="667">
        <v>267.88877000000002</v>
      </c>
      <c r="J33" s="668">
        <v>17.888769999998999</v>
      </c>
      <c r="K33" s="671">
        <v>1.07155508</v>
      </c>
    </row>
    <row r="34" spans="1:11" ht="14.45" customHeight="1" thickBot="1" x14ac:dyDescent="0.25">
      <c r="A34" s="689" t="s">
        <v>336</v>
      </c>
      <c r="B34" s="667">
        <v>16</v>
      </c>
      <c r="C34" s="667">
        <v>37.987180000000002</v>
      </c>
      <c r="D34" s="668">
        <v>21.987179999999999</v>
      </c>
      <c r="E34" s="669">
        <v>2.3741987500000001</v>
      </c>
      <c r="F34" s="667">
        <v>0</v>
      </c>
      <c r="G34" s="668">
        <v>0</v>
      </c>
      <c r="H34" s="670">
        <v>0</v>
      </c>
      <c r="I34" s="667">
        <v>0</v>
      </c>
      <c r="J34" s="668">
        <v>0</v>
      </c>
      <c r="K34" s="678" t="s">
        <v>306</v>
      </c>
    </row>
    <row r="35" spans="1:11" ht="14.45" customHeight="1" thickBot="1" x14ac:dyDescent="0.25">
      <c r="A35" s="689" t="s">
        <v>337</v>
      </c>
      <c r="B35" s="667">
        <v>0.37919077943899998</v>
      </c>
      <c r="C35" s="667">
        <v>0</v>
      </c>
      <c r="D35" s="668">
        <v>-0.37919077943899998</v>
      </c>
      <c r="E35" s="669">
        <v>0</v>
      </c>
      <c r="F35" s="667">
        <v>0</v>
      </c>
      <c r="G35" s="668">
        <v>0</v>
      </c>
      <c r="H35" s="670">
        <v>0</v>
      </c>
      <c r="I35" s="667">
        <v>0</v>
      </c>
      <c r="J35" s="668">
        <v>0</v>
      </c>
      <c r="K35" s="671">
        <v>12</v>
      </c>
    </row>
    <row r="36" spans="1:11" ht="14.45" customHeight="1" thickBot="1" x14ac:dyDescent="0.25">
      <c r="A36" s="688" t="s">
        <v>338</v>
      </c>
      <c r="B36" s="672">
        <v>80.193184494050001</v>
      </c>
      <c r="C36" s="672">
        <v>77.152140000000003</v>
      </c>
      <c r="D36" s="673">
        <v>-3.0410444940489998</v>
      </c>
      <c r="E36" s="679">
        <v>0.96207851685599999</v>
      </c>
      <c r="F36" s="672">
        <v>77.894860365529993</v>
      </c>
      <c r="G36" s="673">
        <v>77.894860365529993</v>
      </c>
      <c r="H36" s="675">
        <v>8.8468799999990004</v>
      </c>
      <c r="I36" s="672">
        <v>99.560369999998997</v>
      </c>
      <c r="J36" s="673">
        <v>21.665509634469</v>
      </c>
      <c r="K36" s="680">
        <v>1.278137858297</v>
      </c>
    </row>
    <row r="37" spans="1:11" ht="14.45" customHeight="1" thickBot="1" x14ac:dyDescent="0.25">
      <c r="A37" s="689" t="s">
        <v>339</v>
      </c>
      <c r="B37" s="667">
        <v>49.359791425628998</v>
      </c>
      <c r="C37" s="667">
        <v>43.245930000000001</v>
      </c>
      <c r="D37" s="668">
        <v>-6.1138614256280004</v>
      </c>
      <c r="E37" s="669">
        <v>0.876136805909</v>
      </c>
      <c r="F37" s="667">
        <v>42.34510591934</v>
      </c>
      <c r="G37" s="668">
        <v>42.34510591934</v>
      </c>
      <c r="H37" s="670">
        <v>4.20425</v>
      </c>
      <c r="I37" s="667">
        <v>49.791449999999003</v>
      </c>
      <c r="J37" s="668">
        <v>7.4463440806590002</v>
      </c>
      <c r="K37" s="671">
        <v>1.1758489893690001</v>
      </c>
    </row>
    <row r="38" spans="1:11" ht="14.45" customHeight="1" thickBot="1" x14ac:dyDescent="0.25">
      <c r="A38" s="689" t="s">
        <v>340</v>
      </c>
      <c r="B38" s="667">
        <v>30.833393068421</v>
      </c>
      <c r="C38" s="667">
        <v>33.906210000000002</v>
      </c>
      <c r="D38" s="668">
        <v>3.0728169315790002</v>
      </c>
      <c r="E38" s="669">
        <v>1.099658734436</v>
      </c>
      <c r="F38" s="667">
        <v>35.549754446188999</v>
      </c>
      <c r="G38" s="668">
        <v>35.549754446188999</v>
      </c>
      <c r="H38" s="670">
        <v>4.6426299999999996</v>
      </c>
      <c r="I38" s="667">
        <v>49.768919999999</v>
      </c>
      <c r="J38" s="668">
        <v>14.219165553810001</v>
      </c>
      <c r="K38" s="671">
        <v>1.3999792903020001</v>
      </c>
    </row>
    <row r="39" spans="1:11" ht="14.45" customHeight="1" thickBot="1" x14ac:dyDescent="0.25">
      <c r="A39" s="688" t="s">
        <v>341</v>
      </c>
      <c r="B39" s="672">
        <v>436.207332353987</v>
      </c>
      <c r="C39" s="672">
        <v>472.60086000000098</v>
      </c>
      <c r="D39" s="673">
        <v>36.393527646012998</v>
      </c>
      <c r="E39" s="679">
        <v>1.0834317191539999</v>
      </c>
      <c r="F39" s="672">
        <v>433.63767207777101</v>
      </c>
      <c r="G39" s="673">
        <v>433.63767207777101</v>
      </c>
      <c r="H39" s="675">
        <v>41.393450000000001</v>
      </c>
      <c r="I39" s="672">
        <v>488.55619000000002</v>
      </c>
      <c r="J39" s="673">
        <v>54.918517922229</v>
      </c>
      <c r="K39" s="680">
        <v>1.1266460952499999</v>
      </c>
    </row>
    <row r="40" spans="1:11" ht="14.45" customHeight="1" thickBot="1" x14ac:dyDescent="0.25">
      <c r="A40" s="689" t="s">
        <v>342</v>
      </c>
      <c r="B40" s="667">
        <v>0</v>
      </c>
      <c r="C40" s="667">
        <v>12.972530000000001</v>
      </c>
      <c r="D40" s="668">
        <v>12.972530000000001</v>
      </c>
      <c r="E40" s="677" t="s">
        <v>306</v>
      </c>
      <c r="F40" s="667">
        <v>0</v>
      </c>
      <c r="G40" s="668">
        <v>0</v>
      </c>
      <c r="H40" s="670">
        <v>0</v>
      </c>
      <c r="I40" s="667">
        <v>11.836220000000001</v>
      </c>
      <c r="J40" s="668">
        <v>11.836220000000001</v>
      </c>
      <c r="K40" s="678" t="s">
        <v>306</v>
      </c>
    </row>
    <row r="41" spans="1:11" ht="14.45" customHeight="1" thickBot="1" x14ac:dyDescent="0.25">
      <c r="A41" s="689" t="s">
        <v>343</v>
      </c>
      <c r="B41" s="667">
        <v>60</v>
      </c>
      <c r="C41" s="667">
        <v>49.656689999999998</v>
      </c>
      <c r="D41" s="668">
        <v>-10.343309999999001</v>
      </c>
      <c r="E41" s="669">
        <v>0.82761150000000006</v>
      </c>
      <c r="F41" s="667">
        <v>51</v>
      </c>
      <c r="G41" s="668">
        <v>51</v>
      </c>
      <c r="H41" s="670">
        <v>4.30443</v>
      </c>
      <c r="I41" s="667">
        <v>48.471040000000002</v>
      </c>
      <c r="J41" s="668">
        <v>-2.5289600000000001</v>
      </c>
      <c r="K41" s="671">
        <v>0.95041254901899996</v>
      </c>
    </row>
    <row r="42" spans="1:11" ht="14.45" customHeight="1" thickBot="1" x14ac:dyDescent="0.25">
      <c r="A42" s="689" t="s">
        <v>344</v>
      </c>
      <c r="B42" s="667">
        <v>212.55024263124201</v>
      </c>
      <c r="C42" s="667">
        <v>197.83964</v>
      </c>
      <c r="D42" s="668">
        <v>-14.710602631241001</v>
      </c>
      <c r="E42" s="669">
        <v>0.93078999840599996</v>
      </c>
      <c r="F42" s="667">
        <v>210</v>
      </c>
      <c r="G42" s="668">
        <v>210</v>
      </c>
      <c r="H42" s="670">
        <v>23.789650000000002</v>
      </c>
      <c r="I42" s="667">
        <v>237.40555000000001</v>
      </c>
      <c r="J42" s="668">
        <v>27.405549999999</v>
      </c>
      <c r="K42" s="671">
        <v>1.130502619047</v>
      </c>
    </row>
    <row r="43" spans="1:11" ht="14.45" customHeight="1" thickBot="1" x14ac:dyDescent="0.25">
      <c r="A43" s="689" t="s">
        <v>345</v>
      </c>
      <c r="B43" s="667">
        <v>55</v>
      </c>
      <c r="C43" s="667">
        <v>52.6648</v>
      </c>
      <c r="D43" s="668">
        <v>-2.3351999999989999</v>
      </c>
      <c r="E43" s="669">
        <v>0.95754181818100004</v>
      </c>
      <c r="F43" s="667">
        <v>55</v>
      </c>
      <c r="G43" s="668">
        <v>55</v>
      </c>
      <c r="H43" s="670">
        <v>4.2791800000000002</v>
      </c>
      <c r="I43" s="667">
        <v>43.3977</v>
      </c>
      <c r="J43" s="668">
        <v>-11.6023</v>
      </c>
      <c r="K43" s="671">
        <v>0.78904909090899999</v>
      </c>
    </row>
    <row r="44" spans="1:11" ht="14.45" customHeight="1" thickBot="1" x14ac:dyDescent="0.25">
      <c r="A44" s="689" t="s">
        <v>346</v>
      </c>
      <c r="B44" s="667">
        <v>1.3543374226010001</v>
      </c>
      <c r="C44" s="667">
        <v>2.0556700000000001</v>
      </c>
      <c r="D44" s="668">
        <v>0.70133257739800003</v>
      </c>
      <c r="E44" s="669">
        <v>1.5178418359370001</v>
      </c>
      <c r="F44" s="667">
        <v>1.9389735369300001</v>
      </c>
      <c r="G44" s="668">
        <v>1.9389735369300001</v>
      </c>
      <c r="H44" s="670">
        <v>0</v>
      </c>
      <c r="I44" s="667">
        <v>4.144399999999</v>
      </c>
      <c r="J44" s="668">
        <v>2.2054264630690001</v>
      </c>
      <c r="K44" s="671">
        <v>2.1374195784840002</v>
      </c>
    </row>
    <row r="45" spans="1:11" ht="14.45" customHeight="1" thickBot="1" x14ac:dyDescent="0.25">
      <c r="A45" s="689" t="s">
        <v>347</v>
      </c>
      <c r="B45" s="667">
        <v>4.8132409233000002E-2</v>
      </c>
      <c r="C45" s="667">
        <v>0.20932000000000001</v>
      </c>
      <c r="D45" s="668">
        <v>0.16118759076600001</v>
      </c>
      <c r="E45" s="669">
        <v>4.3488369548529997</v>
      </c>
      <c r="F45" s="667">
        <v>0</v>
      </c>
      <c r="G45" s="668">
        <v>0</v>
      </c>
      <c r="H45" s="670">
        <v>0</v>
      </c>
      <c r="I45" s="667">
        <v>0</v>
      </c>
      <c r="J45" s="668">
        <v>0</v>
      </c>
      <c r="K45" s="678" t="s">
        <v>306</v>
      </c>
    </row>
    <row r="46" spans="1:11" ht="14.45" customHeight="1" thickBot="1" x14ac:dyDescent="0.25">
      <c r="A46" s="689" t="s">
        <v>348</v>
      </c>
      <c r="B46" s="667">
        <v>0</v>
      </c>
      <c r="C46" s="667">
        <v>14.810499999999999</v>
      </c>
      <c r="D46" s="668">
        <v>14.810499999999999</v>
      </c>
      <c r="E46" s="677" t="s">
        <v>306</v>
      </c>
      <c r="F46" s="667">
        <v>0</v>
      </c>
      <c r="G46" s="668">
        <v>0</v>
      </c>
      <c r="H46" s="670">
        <v>1.1737</v>
      </c>
      <c r="I46" s="667">
        <v>14.0844</v>
      </c>
      <c r="J46" s="668">
        <v>14.0844</v>
      </c>
      <c r="K46" s="678" t="s">
        <v>306</v>
      </c>
    </row>
    <row r="47" spans="1:11" ht="14.45" customHeight="1" thickBot="1" x14ac:dyDescent="0.25">
      <c r="A47" s="689" t="s">
        <v>349</v>
      </c>
      <c r="B47" s="667">
        <v>0</v>
      </c>
      <c r="C47" s="667">
        <v>3.3999999999999998E-3</v>
      </c>
      <c r="D47" s="668">
        <v>3.3999999999999998E-3</v>
      </c>
      <c r="E47" s="677" t="s">
        <v>350</v>
      </c>
      <c r="F47" s="667">
        <v>0</v>
      </c>
      <c r="G47" s="668">
        <v>0</v>
      </c>
      <c r="H47" s="670">
        <v>0</v>
      </c>
      <c r="I47" s="667">
        <v>0</v>
      </c>
      <c r="J47" s="668">
        <v>0</v>
      </c>
      <c r="K47" s="678" t="s">
        <v>306</v>
      </c>
    </row>
    <row r="48" spans="1:11" ht="14.45" customHeight="1" thickBot="1" x14ac:dyDescent="0.25">
      <c r="A48" s="689" t="s">
        <v>351</v>
      </c>
      <c r="B48" s="667">
        <v>22.254619890910998</v>
      </c>
      <c r="C48" s="667">
        <v>33.125990000000002</v>
      </c>
      <c r="D48" s="668">
        <v>10.871370109088</v>
      </c>
      <c r="E48" s="669">
        <v>1.4884994739240001</v>
      </c>
      <c r="F48" s="667">
        <v>25.698698540839001</v>
      </c>
      <c r="G48" s="668">
        <v>25.698698540839001</v>
      </c>
      <c r="H48" s="670">
        <v>0</v>
      </c>
      <c r="I48" s="667">
        <v>18.065519999999999</v>
      </c>
      <c r="J48" s="668">
        <v>-7.6331785408390003</v>
      </c>
      <c r="K48" s="671">
        <v>0.70297412031499995</v>
      </c>
    </row>
    <row r="49" spans="1:11" ht="14.45" customHeight="1" thickBot="1" x14ac:dyDescent="0.25">
      <c r="A49" s="689" t="s">
        <v>352</v>
      </c>
      <c r="B49" s="667">
        <v>0</v>
      </c>
      <c r="C49" s="667">
        <v>7.3459099999999999</v>
      </c>
      <c r="D49" s="668">
        <v>7.3459099999999999</v>
      </c>
      <c r="E49" s="677" t="s">
        <v>306</v>
      </c>
      <c r="F49" s="667">
        <v>0</v>
      </c>
      <c r="G49" s="668">
        <v>0</v>
      </c>
      <c r="H49" s="670">
        <v>0</v>
      </c>
      <c r="I49" s="667">
        <v>0</v>
      </c>
      <c r="J49" s="668">
        <v>0</v>
      </c>
      <c r="K49" s="678" t="s">
        <v>306</v>
      </c>
    </row>
    <row r="50" spans="1:11" ht="14.45" customHeight="1" thickBot="1" x14ac:dyDescent="0.25">
      <c r="A50" s="689" t="s">
        <v>353</v>
      </c>
      <c r="B50" s="667">
        <v>85</v>
      </c>
      <c r="C50" s="667">
        <v>101.91641</v>
      </c>
      <c r="D50" s="668">
        <v>16.916409999999999</v>
      </c>
      <c r="E50" s="669">
        <v>1.1990165882349999</v>
      </c>
      <c r="F50" s="667">
        <v>90</v>
      </c>
      <c r="G50" s="668">
        <v>90</v>
      </c>
      <c r="H50" s="670">
        <v>7.8464899999990001</v>
      </c>
      <c r="I50" s="667">
        <v>111.15136</v>
      </c>
      <c r="J50" s="668">
        <v>21.15136</v>
      </c>
      <c r="K50" s="671">
        <v>1.2350151111109999</v>
      </c>
    </row>
    <row r="51" spans="1:11" ht="14.45" customHeight="1" thickBot="1" x14ac:dyDescent="0.25">
      <c r="A51" s="688" t="s">
        <v>354</v>
      </c>
      <c r="B51" s="672">
        <v>124.962661119213</v>
      </c>
      <c r="C51" s="672">
        <v>67.101240000000004</v>
      </c>
      <c r="D51" s="673">
        <v>-57.861421119211997</v>
      </c>
      <c r="E51" s="679">
        <v>0.53697031896500003</v>
      </c>
      <c r="F51" s="672">
        <v>58.595854487185001</v>
      </c>
      <c r="G51" s="673">
        <v>58.595854487185001</v>
      </c>
      <c r="H51" s="675">
        <v>0</v>
      </c>
      <c r="I51" s="672">
        <v>158.00091</v>
      </c>
      <c r="J51" s="673">
        <v>99.405055512814002</v>
      </c>
      <c r="K51" s="680">
        <v>2.696452016661</v>
      </c>
    </row>
    <row r="52" spans="1:11" ht="14.45" customHeight="1" thickBot="1" x14ac:dyDescent="0.25">
      <c r="A52" s="689" t="s">
        <v>355</v>
      </c>
      <c r="B52" s="667">
        <v>0</v>
      </c>
      <c r="C52" s="667">
        <v>0</v>
      </c>
      <c r="D52" s="668">
        <v>0</v>
      </c>
      <c r="E52" s="669">
        <v>1</v>
      </c>
      <c r="F52" s="667">
        <v>0</v>
      </c>
      <c r="G52" s="668">
        <v>0</v>
      </c>
      <c r="H52" s="670">
        <v>0</v>
      </c>
      <c r="I52" s="667">
        <v>0.104</v>
      </c>
      <c r="J52" s="668">
        <v>0.104</v>
      </c>
      <c r="K52" s="678" t="s">
        <v>350</v>
      </c>
    </row>
    <row r="53" spans="1:11" ht="14.45" customHeight="1" thickBot="1" x14ac:dyDescent="0.25">
      <c r="A53" s="689" t="s">
        <v>356</v>
      </c>
      <c r="B53" s="667">
        <v>14.735671025966001</v>
      </c>
      <c r="C53" s="667">
        <v>6.5388400000000004</v>
      </c>
      <c r="D53" s="668">
        <v>-8.1968310259660004</v>
      </c>
      <c r="E53" s="669">
        <v>0.443742262464</v>
      </c>
      <c r="F53" s="667">
        <v>1.696536468526</v>
      </c>
      <c r="G53" s="668">
        <v>1.696536468526</v>
      </c>
      <c r="H53" s="670">
        <v>0</v>
      </c>
      <c r="I53" s="667">
        <v>28.781539999999001</v>
      </c>
      <c r="J53" s="668">
        <v>27.085003531472999</v>
      </c>
      <c r="K53" s="671">
        <v>16.964881412187999</v>
      </c>
    </row>
    <row r="54" spans="1:11" ht="14.45" customHeight="1" thickBot="1" x14ac:dyDescent="0.25">
      <c r="A54" s="689" t="s">
        <v>357</v>
      </c>
      <c r="B54" s="667">
        <v>105.903990629117</v>
      </c>
      <c r="C54" s="667">
        <v>54.904409999999999</v>
      </c>
      <c r="D54" s="668">
        <v>-50.999580629115997</v>
      </c>
      <c r="E54" s="669">
        <v>0.51843570458300003</v>
      </c>
      <c r="F54" s="667">
        <v>47.878621624734997</v>
      </c>
      <c r="G54" s="668">
        <v>47.878621624734997</v>
      </c>
      <c r="H54" s="670">
        <v>0</v>
      </c>
      <c r="I54" s="667">
        <v>126.48362</v>
      </c>
      <c r="J54" s="668">
        <v>78.604998375264003</v>
      </c>
      <c r="K54" s="671">
        <v>2.6417556668889999</v>
      </c>
    </row>
    <row r="55" spans="1:11" ht="14.45" customHeight="1" thickBot="1" x14ac:dyDescent="0.25">
      <c r="A55" s="689" t="s">
        <v>358</v>
      </c>
      <c r="B55" s="667">
        <v>0</v>
      </c>
      <c r="C55" s="667">
        <v>0.76229999999999998</v>
      </c>
      <c r="D55" s="668">
        <v>0.76229999999999998</v>
      </c>
      <c r="E55" s="677" t="s">
        <v>350</v>
      </c>
      <c r="F55" s="667">
        <v>0.64192092312799998</v>
      </c>
      <c r="G55" s="668">
        <v>0.64192092312799998</v>
      </c>
      <c r="H55" s="670">
        <v>0</v>
      </c>
      <c r="I55" s="667">
        <v>0.76229999999999998</v>
      </c>
      <c r="J55" s="668">
        <v>0.120379076871</v>
      </c>
      <c r="K55" s="671">
        <v>1.1875294487750001</v>
      </c>
    </row>
    <row r="56" spans="1:11" ht="14.45" customHeight="1" thickBot="1" x14ac:dyDescent="0.25">
      <c r="A56" s="689" t="s">
        <v>359</v>
      </c>
      <c r="B56" s="667">
        <v>4.3229994641290004</v>
      </c>
      <c r="C56" s="667">
        <v>4.8956900000000001</v>
      </c>
      <c r="D56" s="668">
        <v>0.57269053586999996</v>
      </c>
      <c r="E56" s="669">
        <v>1.1324752733879999</v>
      </c>
      <c r="F56" s="667">
        <v>4.4201903775669997</v>
      </c>
      <c r="G56" s="668">
        <v>4.4201903775669997</v>
      </c>
      <c r="H56" s="670">
        <v>0</v>
      </c>
      <c r="I56" s="667">
        <v>1.8694500000000001</v>
      </c>
      <c r="J56" s="668">
        <v>-2.5507403775680002</v>
      </c>
      <c r="K56" s="671">
        <v>0.42293427212700002</v>
      </c>
    </row>
    <row r="57" spans="1:11" ht="14.45" customHeight="1" thickBot="1" x14ac:dyDescent="0.25">
      <c r="A57" s="689" t="s">
        <v>360</v>
      </c>
      <c r="B57" s="667">
        <v>0</v>
      </c>
      <c r="C57" s="667">
        <v>0</v>
      </c>
      <c r="D57" s="668">
        <v>0</v>
      </c>
      <c r="E57" s="669">
        <v>1</v>
      </c>
      <c r="F57" s="667">
        <v>3.9585850932270001</v>
      </c>
      <c r="G57" s="668">
        <v>3.9585850932270001</v>
      </c>
      <c r="H57" s="670">
        <v>0</v>
      </c>
      <c r="I57" s="667">
        <v>0</v>
      </c>
      <c r="J57" s="668">
        <v>-3.9585850932270001</v>
      </c>
      <c r="K57" s="671">
        <v>0</v>
      </c>
    </row>
    <row r="58" spans="1:11" ht="14.45" customHeight="1" thickBot="1" x14ac:dyDescent="0.25">
      <c r="A58" s="688" t="s">
        <v>361</v>
      </c>
      <c r="B58" s="672">
        <v>176.59288535939501</v>
      </c>
      <c r="C58" s="672">
        <v>226.21693999999999</v>
      </c>
      <c r="D58" s="673">
        <v>49.624054640605003</v>
      </c>
      <c r="E58" s="679">
        <v>1.281008232804</v>
      </c>
      <c r="F58" s="672">
        <v>165.068010495973</v>
      </c>
      <c r="G58" s="673">
        <v>165.068010495973</v>
      </c>
      <c r="H58" s="675">
        <v>18.054670000000002</v>
      </c>
      <c r="I58" s="672">
        <v>184.95</v>
      </c>
      <c r="J58" s="673">
        <v>19.881989504027</v>
      </c>
      <c r="K58" s="680">
        <v>1.1204472595520001</v>
      </c>
    </row>
    <row r="59" spans="1:11" ht="14.45" customHeight="1" thickBot="1" x14ac:dyDescent="0.25">
      <c r="A59" s="689" t="s">
        <v>362</v>
      </c>
      <c r="B59" s="667">
        <v>0</v>
      </c>
      <c r="C59" s="667">
        <v>9.0969300000000004</v>
      </c>
      <c r="D59" s="668">
        <v>9.0969300000000004</v>
      </c>
      <c r="E59" s="677" t="s">
        <v>306</v>
      </c>
      <c r="F59" s="667">
        <v>0</v>
      </c>
      <c r="G59" s="668">
        <v>0</v>
      </c>
      <c r="H59" s="670">
        <v>0</v>
      </c>
      <c r="I59" s="667">
        <v>0.22991</v>
      </c>
      <c r="J59" s="668">
        <v>0.22991</v>
      </c>
      <c r="K59" s="678" t="s">
        <v>306</v>
      </c>
    </row>
    <row r="60" spans="1:11" ht="14.45" customHeight="1" thickBot="1" x14ac:dyDescent="0.25">
      <c r="A60" s="689" t="s">
        <v>363</v>
      </c>
      <c r="B60" s="667">
        <v>16.592885359395002</v>
      </c>
      <c r="C60" s="667">
        <v>48.197270000000003</v>
      </c>
      <c r="D60" s="668">
        <v>31.604384640604</v>
      </c>
      <c r="E60" s="669">
        <v>2.9046949313549999</v>
      </c>
      <c r="F60" s="667">
        <v>0</v>
      </c>
      <c r="G60" s="668">
        <v>0</v>
      </c>
      <c r="H60" s="670">
        <v>0.72251999999899996</v>
      </c>
      <c r="I60" s="667">
        <v>9.0283200000000008</v>
      </c>
      <c r="J60" s="668">
        <v>9.0283200000000008</v>
      </c>
      <c r="K60" s="678" t="s">
        <v>306</v>
      </c>
    </row>
    <row r="61" spans="1:11" ht="14.45" customHeight="1" thickBot="1" x14ac:dyDescent="0.25">
      <c r="A61" s="689" t="s">
        <v>364</v>
      </c>
      <c r="B61" s="667">
        <v>0</v>
      </c>
      <c r="C61" s="667">
        <v>2.8677000000000001</v>
      </c>
      <c r="D61" s="668">
        <v>2.8677000000000001</v>
      </c>
      <c r="E61" s="677" t="s">
        <v>306</v>
      </c>
      <c r="F61" s="667">
        <v>0</v>
      </c>
      <c r="G61" s="668">
        <v>0</v>
      </c>
      <c r="H61" s="670">
        <v>0</v>
      </c>
      <c r="I61" s="667">
        <v>6.3525</v>
      </c>
      <c r="J61" s="668">
        <v>6.3525</v>
      </c>
      <c r="K61" s="678" t="s">
        <v>306</v>
      </c>
    </row>
    <row r="62" spans="1:11" ht="14.45" customHeight="1" thickBot="1" x14ac:dyDescent="0.25">
      <c r="A62" s="689" t="s">
        <v>365</v>
      </c>
      <c r="B62" s="667">
        <v>0</v>
      </c>
      <c r="C62" s="667">
        <v>6.0890000000000004</v>
      </c>
      <c r="D62" s="668">
        <v>6.0890000000000004</v>
      </c>
      <c r="E62" s="677" t="s">
        <v>350</v>
      </c>
      <c r="F62" s="667">
        <v>0</v>
      </c>
      <c r="G62" s="668">
        <v>0</v>
      </c>
      <c r="H62" s="670">
        <v>2.6202999999999999</v>
      </c>
      <c r="I62" s="667">
        <v>5.4819999999990001</v>
      </c>
      <c r="J62" s="668">
        <v>5.4819999999990001</v>
      </c>
      <c r="K62" s="678" t="s">
        <v>306</v>
      </c>
    </row>
    <row r="63" spans="1:11" ht="14.45" customHeight="1" thickBot="1" x14ac:dyDescent="0.25">
      <c r="A63" s="689" t="s">
        <v>366</v>
      </c>
      <c r="B63" s="667">
        <v>35</v>
      </c>
      <c r="C63" s="667">
        <v>34.654029999999999</v>
      </c>
      <c r="D63" s="668">
        <v>-0.34596999999900002</v>
      </c>
      <c r="E63" s="669">
        <v>0.99011514285699997</v>
      </c>
      <c r="F63" s="667">
        <v>40.068010495971997</v>
      </c>
      <c r="G63" s="668">
        <v>40.068010495971997</v>
      </c>
      <c r="H63" s="670">
        <v>4.9653600000000004</v>
      </c>
      <c r="I63" s="667">
        <v>46.589309999999998</v>
      </c>
      <c r="J63" s="668">
        <v>6.5212995040269996</v>
      </c>
      <c r="K63" s="671">
        <v>1.1627557601009999</v>
      </c>
    </row>
    <row r="64" spans="1:11" ht="14.45" customHeight="1" thickBot="1" x14ac:dyDescent="0.25">
      <c r="A64" s="689" t="s">
        <v>367</v>
      </c>
      <c r="B64" s="667">
        <v>5</v>
      </c>
      <c r="C64" s="667">
        <v>14.074120000000001</v>
      </c>
      <c r="D64" s="668">
        <v>9.0741200000000006</v>
      </c>
      <c r="E64" s="669">
        <v>2.8148240000000002</v>
      </c>
      <c r="F64" s="667">
        <v>15</v>
      </c>
      <c r="G64" s="668">
        <v>15</v>
      </c>
      <c r="H64" s="670">
        <v>3.18607</v>
      </c>
      <c r="I64" s="667">
        <v>13.628349999999999</v>
      </c>
      <c r="J64" s="668">
        <v>-1.37165</v>
      </c>
      <c r="K64" s="671">
        <v>0.90855666666599999</v>
      </c>
    </row>
    <row r="65" spans="1:11" ht="14.45" customHeight="1" thickBot="1" x14ac:dyDescent="0.25">
      <c r="A65" s="689" t="s">
        <v>368</v>
      </c>
      <c r="B65" s="667">
        <v>120</v>
      </c>
      <c r="C65" s="667">
        <v>111.23788999999999</v>
      </c>
      <c r="D65" s="668">
        <v>-8.7621099999989998</v>
      </c>
      <c r="E65" s="669">
        <v>0.92698241666600001</v>
      </c>
      <c r="F65" s="667">
        <v>110</v>
      </c>
      <c r="G65" s="668">
        <v>110</v>
      </c>
      <c r="H65" s="670">
        <v>6.5604199999989996</v>
      </c>
      <c r="I65" s="667">
        <v>103.63961</v>
      </c>
      <c r="J65" s="668">
        <v>-6.3603899999999998</v>
      </c>
      <c r="K65" s="671">
        <v>0.94217827272700005</v>
      </c>
    </row>
    <row r="66" spans="1:11" ht="14.45" customHeight="1" thickBot="1" x14ac:dyDescent="0.25">
      <c r="A66" s="688" t="s">
        <v>369</v>
      </c>
      <c r="B66" s="672">
        <v>0</v>
      </c>
      <c r="C66" s="672">
        <v>0</v>
      </c>
      <c r="D66" s="673">
        <v>0</v>
      </c>
      <c r="E66" s="679">
        <v>1</v>
      </c>
      <c r="F66" s="672">
        <v>0</v>
      </c>
      <c r="G66" s="673">
        <v>0</v>
      </c>
      <c r="H66" s="675">
        <v>0</v>
      </c>
      <c r="I66" s="672">
        <v>0.39600000000000002</v>
      </c>
      <c r="J66" s="673">
        <v>0.39600000000000002</v>
      </c>
      <c r="K66" s="676" t="s">
        <v>350</v>
      </c>
    </row>
    <row r="67" spans="1:11" ht="14.45" customHeight="1" thickBot="1" x14ac:dyDescent="0.25">
      <c r="A67" s="689" t="s">
        <v>370</v>
      </c>
      <c r="B67" s="667">
        <v>0</v>
      </c>
      <c r="C67" s="667">
        <v>0</v>
      </c>
      <c r="D67" s="668">
        <v>0</v>
      </c>
      <c r="E67" s="669">
        <v>1</v>
      </c>
      <c r="F67" s="667">
        <v>0</v>
      </c>
      <c r="G67" s="668">
        <v>0</v>
      </c>
      <c r="H67" s="670">
        <v>0</v>
      </c>
      <c r="I67" s="667">
        <v>0.39600000000000002</v>
      </c>
      <c r="J67" s="668">
        <v>0.39600000000000002</v>
      </c>
      <c r="K67" s="678" t="s">
        <v>350</v>
      </c>
    </row>
    <row r="68" spans="1:11" ht="14.45" customHeight="1" thickBot="1" x14ac:dyDescent="0.25">
      <c r="A68" s="687" t="s">
        <v>29</v>
      </c>
      <c r="B68" s="667">
        <v>295.03712265117099</v>
      </c>
      <c r="C68" s="667">
        <v>290.721</v>
      </c>
      <c r="D68" s="668">
        <v>-4.3161226511699997</v>
      </c>
      <c r="E68" s="669">
        <v>0.98537091667499999</v>
      </c>
      <c r="F68" s="667">
        <v>337.26245852020202</v>
      </c>
      <c r="G68" s="668">
        <v>337.26245852020202</v>
      </c>
      <c r="H68" s="670">
        <v>35.576000000000001</v>
      </c>
      <c r="I68" s="667">
        <v>338.18</v>
      </c>
      <c r="J68" s="668">
        <v>0.91754147979699996</v>
      </c>
      <c r="K68" s="671">
        <v>1.002720556221</v>
      </c>
    </row>
    <row r="69" spans="1:11" ht="14.45" customHeight="1" thickBot="1" x14ac:dyDescent="0.25">
      <c r="A69" s="688" t="s">
        <v>371</v>
      </c>
      <c r="B69" s="672">
        <v>295.03712265117099</v>
      </c>
      <c r="C69" s="672">
        <v>290.721</v>
      </c>
      <c r="D69" s="673">
        <v>-4.3161226511699997</v>
      </c>
      <c r="E69" s="679">
        <v>0.98537091667499999</v>
      </c>
      <c r="F69" s="672">
        <v>337.26245852020202</v>
      </c>
      <c r="G69" s="673">
        <v>337.26245852020202</v>
      </c>
      <c r="H69" s="675">
        <v>35.576000000000001</v>
      </c>
      <c r="I69" s="672">
        <v>338.18</v>
      </c>
      <c r="J69" s="673">
        <v>0.91754147979699996</v>
      </c>
      <c r="K69" s="680">
        <v>1.002720556221</v>
      </c>
    </row>
    <row r="70" spans="1:11" ht="14.45" customHeight="1" thickBot="1" x14ac:dyDescent="0.25">
      <c r="A70" s="689" t="s">
        <v>372</v>
      </c>
      <c r="B70" s="667">
        <v>98.797110811156998</v>
      </c>
      <c r="C70" s="667">
        <v>102.946</v>
      </c>
      <c r="D70" s="668">
        <v>4.1488891888420003</v>
      </c>
      <c r="E70" s="669">
        <v>1.041994033578</v>
      </c>
      <c r="F70" s="667">
        <v>134.78826624766199</v>
      </c>
      <c r="G70" s="668">
        <v>134.78826624766199</v>
      </c>
      <c r="H70" s="670">
        <v>11.542999999999999</v>
      </c>
      <c r="I70" s="667">
        <v>143.358</v>
      </c>
      <c r="J70" s="668">
        <v>8.5697337523379993</v>
      </c>
      <c r="K70" s="671">
        <v>1.0635792268190001</v>
      </c>
    </row>
    <row r="71" spans="1:11" ht="14.45" customHeight="1" thickBot="1" x14ac:dyDescent="0.25">
      <c r="A71" s="689" t="s">
        <v>373</v>
      </c>
      <c r="B71" s="667">
        <v>28.278693789117</v>
      </c>
      <c r="C71" s="667">
        <v>29.597000000000001</v>
      </c>
      <c r="D71" s="668">
        <v>1.3183062108820001</v>
      </c>
      <c r="E71" s="669">
        <v>1.0466183558790001</v>
      </c>
      <c r="F71" s="667">
        <v>29.197469723043</v>
      </c>
      <c r="G71" s="668">
        <v>29.197469723043</v>
      </c>
      <c r="H71" s="670">
        <v>1.6419999999999999</v>
      </c>
      <c r="I71" s="667">
        <v>27.988</v>
      </c>
      <c r="J71" s="668">
        <v>-1.209469723043</v>
      </c>
      <c r="K71" s="671">
        <v>0.95857621449599995</v>
      </c>
    </row>
    <row r="72" spans="1:11" ht="14.45" customHeight="1" thickBot="1" x14ac:dyDescent="0.25">
      <c r="A72" s="689" t="s">
        <v>374</v>
      </c>
      <c r="B72" s="667">
        <v>167.96131805089601</v>
      </c>
      <c r="C72" s="667">
        <v>158.178</v>
      </c>
      <c r="D72" s="668">
        <v>-9.7833180508949997</v>
      </c>
      <c r="E72" s="669">
        <v>0.94175255252500001</v>
      </c>
      <c r="F72" s="667">
        <v>173.276722549498</v>
      </c>
      <c r="G72" s="668">
        <v>173.276722549498</v>
      </c>
      <c r="H72" s="670">
        <v>22.390999999999998</v>
      </c>
      <c r="I72" s="667">
        <v>166.834</v>
      </c>
      <c r="J72" s="668">
        <v>-6.4427225494969997</v>
      </c>
      <c r="K72" s="671">
        <v>0.96281830326200002</v>
      </c>
    </row>
    <row r="73" spans="1:11" ht="14.45" customHeight="1" thickBot="1" x14ac:dyDescent="0.25">
      <c r="A73" s="690" t="s">
        <v>375</v>
      </c>
      <c r="B73" s="672">
        <v>1752.7355979482099</v>
      </c>
      <c r="C73" s="672">
        <v>1483.3817799999999</v>
      </c>
      <c r="D73" s="673">
        <v>-269.353817948212</v>
      </c>
      <c r="E73" s="679">
        <v>0.84632375912000002</v>
      </c>
      <c r="F73" s="672">
        <v>1334.8510383138801</v>
      </c>
      <c r="G73" s="673">
        <v>1334.8510383138801</v>
      </c>
      <c r="H73" s="675">
        <v>207.49014</v>
      </c>
      <c r="I73" s="672">
        <v>2858.7674900000002</v>
      </c>
      <c r="J73" s="673">
        <v>1523.9164516861199</v>
      </c>
      <c r="K73" s="680">
        <v>2.1416378366909998</v>
      </c>
    </row>
    <row r="74" spans="1:11" ht="14.45" customHeight="1" thickBot="1" x14ac:dyDescent="0.25">
      <c r="A74" s="687" t="s">
        <v>32</v>
      </c>
      <c r="B74" s="667">
        <v>801.22964200227602</v>
      </c>
      <c r="C74" s="667">
        <v>534.52499000000103</v>
      </c>
      <c r="D74" s="668">
        <v>-266.704652002275</v>
      </c>
      <c r="E74" s="669">
        <v>0.66713082239900001</v>
      </c>
      <c r="F74" s="667">
        <v>484.32665285721902</v>
      </c>
      <c r="G74" s="668">
        <v>484.32665285721902</v>
      </c>
      <c r="H74" s="670">
        <v>18.44041</v>
      </c>
      <c r="I74" s="667">
        <v>1338.0361399999999</v>
      </c>
      <c r="J74" s="668">
        <v>853.70948714277995</v>
      </c>
      <c r="K74" s="671">
        <v>2.7626729441919999</v>
      </c>
    </row>
    <row r="75" spans="1:11" ht="14.45" customHeight="1" thickBot="1" x14ac:dyDescent="0.25">
      <c r="A75" s="691" t="s">
        <v>376</v>
      </c>
      <c r="B75" s="667">
        <v>801.22964200227602</v>
      </c>
      <c r="C75" s="667">
        <v>534.52499000000103</v>
      </c>
      <c r="D75" s="668">
        <v>-266.704652002275</v>
      </c>
      <c r="E75" s="669">
        <v>0.66713082239900001</v>
      </c>
      <c r="F75" s="667">
        <v>484.32665285721902</v>
      </c>
      <c r="G75" s="668">
        <v>484.32665285721902</v>
      </c>
      <c r="H75" s="670">
        <v>18.44041</v>
      </c>
      <c r="I75" s="667">
        <v>1338.0361399999999</v>
      </c>
      <c r="J75" s="668">
        <v>853.70948714277995</v>
      </c>
      <c r="K75" s="671">
        <v>2.7626729441919999</v>
      </c>
    </row>
    <row r="76" spans="1:11" ht="14.45" customHeight="1" thickBot="1" x14ac:dyDescent="0.25">
      <c r="A76" s="689" t="s">
        <v>377</v>
      </c>
      <c r="B76" s="667">
        <v>668.42520937205995</v>
      </c>
      <c r="C76" s="667">
        <v>428.66193000000101</v>
      </c>
      <c r="D76" s="668">
        <v>-239.763279372059</v>
      </c>
      <c r="E76" s="669">
        <v>0.64130126151599998</v>
      </c>
      <c r="F76" s="667">
        <v>333.37450912580601</v>
      </c>
      <c r="G76" s="668">
        <v>333.37450912580601</v>
      </c>
      <c r="H76" s="670">
        <v>16.516500000000001</v>
      </c>
      <c r="I76" s="667">
        <v>1213.58887</v>
      </c>
      <c r="J76" s="668">
        <v>880.21436087419295</v>
      </c>
      <c r="K76" s="671">
        <v>3.6403169311960002</v>
      </c>
    </row>
    <row r="77" spans="1:11" ht="14.45" customHeight="1" thickBot="1" x14ac:dyDescent="0.25">
      <c r="A77" s="689" t="s">
        <v>378</v>
      </c>
      <c r="B77" s="667">
        <v>12.503461181756</v>
      </c>
      <c r="C77" s="667">
        <v>13.94434</v>
      </c>
      <c r="D77" s="668">
        <v>1.4408788182429999</v>
      </c>
      <c r="E77" s="669">
        <v>1.115238396576</v>
      </c>
      <c r="F77" s="667">
        <v>0.78161250631699997</v>
      </c>
      <c r="G77" s="668">
        <v>0.78161250631699997</v>
      </c>
      <c r="H77" s="670">
        <v>0</v>
      </c>
      <c r="I77" s="667">
        <v>16.279499999999999</v>
      </c>
      <c r="J77" s="668">
        <v>15.497887493682001</v>
      </c>
      <c r="K77" s="671">
        <v>20.828095595221001</v>
      </c>
    </row>
    <row r="78" spans="1:11" ht="14.45" customHeight="1" thickBot="1" x14ac:dyDescent="0.25">
      <c r="A78" s="689" t="s">
        <v>379</v>
      </c>
      <c r="B78" s="667">
        <v>90.774895838665003</v>
      </c>
      <c r="C78" s="667">
        <v>72.223209999999995</v>
      </c>
      <c r="D78" s="668">
        <v>-18.551685838665001</v>
      </c>
      <c r="E78" s="669">
        <v>0.79562977553100001</v>
      </c>
      <c r="F78" s="667">
        <v>116.92526903478</v>
      </c>
      <c r="G78" s="668">
        <v>116.92526903478</v>
      </c>
      <c r="H78" s="670">
        <v>1.2463</v>
      </c>
      <c r="I78" s="667">
        <v>75.236230000000006</v>
      </c>
      <c r="J78" s="668">
        <v>-41.689039034779</v>
      </c>
      <c r="K78" s="671">
        <v>0.64345569286299997</v>
      </c>
    </row>
    <row r="79" spans="1:11" ht="14.45" customHeight="1" thickBot="1" x14ac:dyDescent="0.25">
      <c r="A79" s="689" t="s">
        <v>380</v>
      </c>
      <c r="B79" s="667">
        <v>23.553590515878</v>
      </c>
      <c r="C79" s="667">
        <v>19.695509999999999</v>
      </c>
      <c r="D79" s="668">
        <v>-3.858080515878</v>
      </c>
      <c r="E79" s="669">
        <v>0.83619989855499999</v>
      </c>
      <c r="F79" s="667">
        <v>14.373233984655</v>
      </c>
      <c r="G79" s="668">
        <v>14.373233984655</v>
      </c>
      <c r="H79" s="670">
        <v>0.67760999999899996</v>
      </c>
      <c r="I79" s="667">
        <v>27.717189999999999</v>
      </c>
      <c r="J79" s="668">
        <v>13.343956015344</v>
      </c>
      <c r="K79" s="671">
        <v>1.9283892566959999</v>
      </c>
    </row>
    <row r="80" spans="1:11" ht="14.45" customHeight="1" thickBot="1" x14ac:dyDescent="0.25">
      <c r="A80" s="689" t="s">
        <v>381</v>
      </c>
      <c r="B80" s="667">
        <v>5.972485093915</v>
      </c>
      <c r="C80" s="667">
        <v>0</v>
      </c>
      <c r="D80" s="668">
        <v>-5.972485093915</v>
      </c>
      <c r="E80" s="669">
        <v>0</v>
      </c>
      <c r="F80" s="667">
        <v>0</v>
      </c>
      <c r="G80" s="668">
        <v>0</v>
      </c>
      <c r="H80" s="670">
        <v>0</v>
      </c>
      <c r="I80" s="667">
        <v>3.9433500000000001</v>
      </c>
      <c r="J80" s="668">
        <v>3.9433500000000001</v>
      </c>
      <c r="K80" s="678" t="s">
        <v>350</v>
      </c>
    </row>
    <row r="81" spans="1:11" ht="14.45" customHeight="1" thickBot="1" x14ac:dyDescent="0.25">
      <c r="A81" s="689" t="s">
        <v>382</v>
      </c>
      <c r="B81" s="667">
        <v>0</v>
      </c>
      <c r="C81" s="667">
        <v>0</v>
      </c>
      <c r="D81" s="668">
        <v>0</v>
      </c>
      <c r="E81" s="669">
        <v>1</v>
      </c>
      <c r="F81" s="667">
        <v>3.4813977424629998</v>
      </c>
      <c r="G81" s="668">
        <v>3.4813977424629998</v>
      </c>
      <c r="H81" s="670">
        <v>0</v>
      </c>
      <c r="I81" s="667">
        <v>0</v>
      </c>
      <c r="J81" s="668">
        <v>-3.4813977424629998</v>
      </c>
      <c r="K81" s="671">
        <v>0</v>
      </c>
    </row>
    <row r="82" spans="1:11" ht="14.45" customHeight="1" thickBot="1" x14ac:dyDescent="0.25">
      <c r="A82" s="689" t="s">
        <v>383</v>
      </c>
      <c r="B82" s="667">
        <v>0</v>
      </c>
      <c r="C82" s="667">
        <v>0</v>
      </c>
      <c r="D82" s="668">
        <v>0</v>
      </c>
      <c r="E82" s="669">
        <v>1</v>
      </c>
      <c r="F82" s="667">
        <v>11.62149647221</v>
      </c>
      <c r="G82" s="668">
        <v>11.62149647221</v>
      </c>
      <c r="H82" s="670">
        <v>0</v>
      </c>
      <c r="I82" s="667">
        <v>1.2709999999999999</v>
      </c>
      <c r="J82" s="668">
        <v>-10.350496472210001</v>
      </c>
      <c r="K82" s="671">
        <v>0.10936629400800001</v>
      </c>
    </row>
    <row r="83" spans="1:11" ht="14.45" customHeight="1" thickBot="1" x14ac:dyDescent="0.25">
      <c r="A83" s="689" t="s">
        <v>384</v>
      </c>
      <c r="B83" s="667">
        <v>0</v>
      </c>
      <c r="C83" s="667">
        <v>0</v>
      </c>
      <c r="D83" s="668">
        <v>0</v>
      </c>
      <c r="E83" s="669">
        <v>1</v>
      </c>
      <c r="F83" s="667">
        <v>3.7691339909870001</v>
      </c>
      <c r="G83" s="668">
        <v>3.7691339909870001</v>
      </c>
      <c r="H83" s="670">
        <v>0</v>
      </c>
      <c r="I83" s="667">
        <v>0</v>
      </c>
      <c r="J83" s="668">
        <v>-3.7691339909870001</v>
      </c>
      <c r="K83" s="671">
        <v>0</v>
      </c>
    </row>
    <row r="84" spans="1:11" ht="14.45" customHeight="1" thickBot="1" x14ac:dyDescent="0.25">
      <c r="A84" s="692" t="s">
        <v>33</v>
      </c>
      <c r="B84" s="672">
        <v>0</v>
      </c>
      <c r="C84" s="672">
        <v>41.356999999999999</v>
      </c>
      <c r="D84" s="673">
        <v>41.356999999999999</v>
      </c>
      <c r="E84" s="674" t="s">
        <v>306</v>
      </c>
      <c r="F84" s="672">
        <v>0</v>
      </c>
      <c r="G84" s="673">
        <v>0</v>
      </c>
      <c r="H84" s="675">
        <v>0.76999999999900004</v>
      </c>
      <c r="I84" s="672">
        <v>37.582999999998997</v>
      </c>
      <c r="J84" s="673">
        <v>37.582999999998997</v>
      </c>
      <c r="K84" s="676" t="s">
        <v>306</v>
      </c>
    </row>
    <row r="85" spans="1:11" ht="14.45" customHeight="1" thickBot="1" x14ac:dyDescent="0.25">
      <c r="A85" s="688" t="s">
        <v>385</v>
      </c>
      <c r="B85" s="672">
        <v>0</v>
      </c>
      <c r="C85" s="672">
        <v>41.356999999999999</v>
      </c>
      <c r="D85" s="673">
        <v>41.356999999999999</v>
      </c>
      <c r="E85" s="674" t="s">
        <v>306</v>
      </c>
      <c r="F85" s="672">
        <v>0</v>
      </c>
      <c r="G85" s="673">
        <v>0</v>
      </c>
      <c r="H85" s="675">
        <v>0.76999999999900004</v>
      </c>
      <c r="I85" s="672">
        <v>29.975999999999001</v>
      </c>
      <c r="J85" s="673">
        <v>29.975999999999001</v>
      </c>
      <c r="K85" s="676" t="s">
        <v>306</v>
      </c>
    </row>
    <row r="86" spans="1:11" ht="14.45" customHeight="1" thickBot="1" x14ac:dyDescent="0.25">
      <c r="A86" s="689" t="s">
        <v>386</v>
      </c>
      <c r="B86" s="667">
        <v>0</v>
      </c>
      <c r="C86" s="667">
        <v>41.356999999999999</v>
      </c>
      <c r="D86" s="668">
        <v>41.356999999999999</v>
      </c>
      <c r="E86" s="677" t="s">
        <v>306</v>
      </c>
      <c r="F86" s="667">
        <v>0</v>
      </c>
      <c r="G86" s="668">
        <v>0</v>
      </c>
      <c r="H86" s="670">
        <v>0.76999999999900004</v>
      </c>
      <c r="I86" s="667">
        <v>29.975999999999001</v>
      </c>
      <c r="J86" s="668">
        <v>29.975999999999001</v>
      </c>
      <c r="K86" s="678" t="s">
        <v>306</v>
      </c>
    </row>
    <row r="87" spans="1:11" ht="14.45" customHeight="1" thickBot="1" x14ac:dyDescent="0.25">
      <c r="A87" s="688" t="s">
        <v>387</v>
      </c>
      <c r="B87" s="672">
        <v>0</v>
      </c>
      <c r="C87" s="672">
        <v>0</v>
      </c>
      <c r="D87" s="673">
        <v>0</v>
      </c>
      <c r="E87" s="674" t="s">
        <v>306</v>
      </c>
      <c r="F87" s="672">
        <v>0</v>
      </c>
      <c r="G87" s="673">
        <v>0</v>
      </c>
      <c r="H87" s="675">
        <v>0</v>
      </c>
      <c r="I87" s="672">
        <v>7.6069999999990001</v>
      </c>
      <c r="J87" s="673">
        <v>7.6069999999990001</v>
      </c>
      <c r="K87" s="676" t="s">
        <v>350</v>
      </c>
    </row>
    <row r="88" spans="1:11" ht="14.45" customHeight="1" thickBot="1" x14ac:dyDescent="0.25">
      <c r="A88" s="689" t="s">
        <v>388</v>
      </c>
      <c r="B88" s="667">
        <v>0</v>
      </c>
      <c r="C88" s="667">
        <v>0</v>
      </c>
      <c r="D88" s="668">
        <v>0</v>
      </c>
      <c r="E88" s="677" t="s">
        <v>306</v>
      </c>
      <c r="F88" s="667">
        <v>0</v>
      </c>
      <c r="G88" s="668">
        <v>0</v>
      </c>
      <c r="H88" s="670">
        <v>0</v>
      </c>
      <c r="I88" s="667">
        <v>7.6069999999990001</v>
      </c>
      <c r="J88" s="668">
        <v>7.6069999999990001</v>
      </c>
      <c r="K88" s="678" t="s">
        <v>350</v>
      </c>
    </row>
    <row r="89" spans="1:11" ht="14.45" customHeight="1" thickBot="1" x14ac:dyDescent="0.25">
      <c r="A89" s="687" t="s">
        <v>34</v>
      </c>
      <c r="B89" s="667">
        <v>951.50595594593801</v>
      </c>
      <c r="C89" s="667">
        <v>907.49979000000098</v>
      </c>
      <c r="D89" s="668">
        <v>-44.006165945935997</v>
      </c>
      <c r="E89" s="669">
        <v>0.95375103469300004</v>
      </c>
      <c r="F89" s="667">
        <v>850.52438545665802</v>
      </c>
      <c r="G89" s="668">
        <v>850.52438545665802</v>
      </c>
      <c r="H89" s="670">
        <v>188.27973</v>
      </c>
      <c r="I89" s="667">
        <v>1483.1483499999999</v>
      </c>
      <c r="J89" s="668">
        <v>632.623964543341</v>
      </c>
      <c r="K89" s="671">
        <v>1.743804616729</v>
      </c>
    </row>
    <row r="90" spans="1:11" ht="14.45" customHeight="1" thickBot="1" x14ac:dyDescent="0.25">
      <c r="A90" s="688" t="s">
        <v>389</v>
      </c>
      <c r="B90" s="672">
        <v>4.9666367552789996</v>
      </c>
      <c r="C90" s="672">
        <v>6.3806099999999999</v>
      </c>
      <c r="D90" s="673">
        <v>1.41397324472</v>
      </c>
      <c r="E90" s="679">
        <v>1.2846943141580001</v>
      </c>
      <c r="F90" s="672">
        <v>6.4564238436370003</v>
      </c>
      <c r="G90" s="673">
        <v>6.4564238436370003</v>
      </c>
      <c r="H90" s="675">
        <v>0.51754999999899998</v>
      </c>
      <c r="I90" s="672">
        <v>6.2017399999989999</v>
      </c>
      <c r="J90" s="673">
        <v>-0.25468384363699997</v>
      </c>
      <c r="K90" s="680">
        <v>0.96055341938399996</v>
      </c>
    </row>
    <row r="91" spans="1:11" ht="14.45" customHeight="1" thickBot="1" x14ac:dyDescent="0.25">
      <c r="A91" s="689" t="s">
        <v>390</v>
      </c>
      <c r="B91" s="667">
        <v>0.67259574144300005</v>
      </c>
      <c r="C91" s="667">
        <v>1.0869</v>
      </c>
      <c r="D91" s="668">
        <v>0.414304258556</v>
      </c>
      <c r="E91" s="669">
        <v>1.615978117357</v>
      </c>
      <c r="F91" s="667">
        <v>1.134570493527</v>
      </c>
      <c r="G91" s="668">
        <v>1.134570493527</v>
      </c>
      <c r="H91" s="670">
        <v>7.5999999999000006E-2</v>
      </c>
      <c r="I91" s="667">
        <v>1.0033000000000001</v>
      </c>
      <c r="J91" s="668">
        <v>-0.13127049352699999</v>
      </c>
      <c r="K91" s="671">
        <v>0.88429939410799996</v>
      </c>
    </row>
    <row r="92" spans="1:11" ht="14.45" customHeight="1" thickBot="1" x14ac:dyDescent="0.25">
      <c r="A92" s="689" t="s">
        <v>391</v>
      </c>
      <c r="B92" s="667">
        <v>4.2940410138359999</v>
      </c>
      <c r="C92" s="667">
        <v>5.2937099999999999</v>
      </c>
      <c r="D92" s="668">
        <v>0.99966898616300004</v>
      </c>
      <c r="E92" s="669">
        <v>1.2328037815520001</v>
      </c>
      <c r="F92" s="667">
        <v>5.3218533501099996</v>
      </c>
      <c r="G92" s="668">
        <v>5.3218533501099996</v>
      </c>
      <c r="H92" s="670">
        <v>0.44154999999900002</v>
      </c>
      <c r="I92" s="667">
        <v>5.1984399999989996</v>
      </c>
      <c r="J92" s="668">
        <v>-0.12341335011</v>
      </c>
      <c r="K92" s="671">
        <v>0.97681008062499997</v>
      </c>
    </row>
    <row r="93" spans="1:11" ht="14.45" customHeight="1" thickBot="1" x14ac:dyDescent="0.25">
      <c r="A93" s="688" t="s">
        <v>392</v>
      </c>
      <c r="B93" s="672">
        <v>43.008016385961</v>
      </c>
      <c r="C93" s="672">
        <v>34.7196</v>
      </c>
      <c r="D93" s="673">
        <v>-8.2884163859609998</v>
      </c>
      <c r="E93" s="679">
        <v>0.80728205849800005</v>
      </c>
      <c r="F93" s="672">
        <v>33.612484076131999</v>
      </c>
      <c r="G93" s="673">
        <v>33.612484076131999</v>
      </c>
      <c r="H93" s="675">
        <v>0</v>
      </c>
      <c r="I93" s="672">
        <v>39.07978</v>
      </c>
      <c r="J93" s="673">
        <v>5.4672959238669998</v>
      </c>
      <c r="K93" s="680">
        <v>1.162656705511</v>
      </c>
    </row>
    <row r="94" spans="1:11" ht="14.45" customHeight="1" thickBot="1" x14ac:dyDescent="0.25">
      <c r="A94" s="689" t="s">
        <v>393</v>
      </c>
      <c r="B94" s="667">
        <v>13.487323943662</v>
      </c>
      <c r="C94" s="667">
        <v>13.23</v>
      </c>
      <c r="D94" s="668">
        <v>-0.25732394366099998</v>
      </c>
      <c r="E94" s="669">
        <v>0.98092105263100005</v>
      </c>
      <c r="F94" s="667">
        <v>10.999999999999</v>
      </c>
      <c r="G94" s="668">
        <v>10.999999999999</v>
      </c>
      <c r="H94" s="670">
        <v>0</v>
      </c>
      <c r="I94" s="667">
        <v>12.42</v>
      </c>
      <c r="J94" s="668">
        <v>1.42</v>
      </c>
      <c r="K94" s="671">
        <v>1.1290909090900001</v>
      </c>
    </row>
    <row r="95" spans="1:11" ht="14.45" customHeight="1" thickBot="1" x14ac:dyDescent="0.25">
      <c r="A95" s="689" t="s">
        <v>394</v>
      </c>
      <c r="B95" s="667">
        <v>29.520692442299001</v>
      </c>
      <c r="C95" s="667">
        <v>21.489599999999999</v>
      </c>
      <c r="D95" s="668">
        <v>-8.0310924422990002</v>
      </c>
      <c r="E95" s="669">
        <v>0.72795040434699998</v>
      </c>
      <c r="F95" s="667">
        <v>22.612484076131999</v>
      </c>
      <c r="G95" s="668">
        <v>22.612484076131999</v>
      </c>
      <c r="H95" s="670">
        <v>0</v>
      </c>
      <c r="I95" s="667">
        <v>26.659780000000001</v>
      </c>
      <c r="J95" s="668">
        <v>4.0472959238669999</v>
      </c>
      <c r="K95" s="671">
        <v>1.178985020409</v>
      </c>
    </row>
    <row r="96" spans="1:11" ht="14.45" customHeight="1" thickBot="1" x14ac:dyDescent="0.25">
      <c r="A96" s="688" t="s">
        <v>395</v>
      </c>
      <c r="B96" s="672">
        <v>512.81478730905405</v>
      </c>
      <c r="C96" s="672">
        <v>486.09585000000101</v>
      </c>
      <c r="D96" s="673">
        <v>-26.718937309053</v>
      </c>
      <c r="E96" s="679">
        <v>0.94789749053500005</v>
      </c>
      <c r="F96" s="672">
        <v>482.35995043434599</v>
      </c>
      <c r="G96" s="673">
        <v>482.35995043434599</v>
      </c>
      <c r="H96" s="675">
        <v>130.21815000000001</v>
      </c>
      <c r="I96" s="672">
        <v>970.318299999999</v>
      </c>
      <c r="J96" s="673">
        <v>487.95834956565301</v>
      </c>
      <c r="K96" s="680">
        <v>2.0116062685679998</v>
      </c>
    </row>
    <row r="97" spans="1:11" ht="14.45" customHeight="1" thickBot="1" x14ac:dyDescent="0.25">
      <c r="A97" s="689" t="s">
        <v>396</v>
      </c>
      <c r="B97" s="667">
        <v>482.41597959587801</v>
      </c>
      <c r="C97" s="667">
        <v>465.13865000000101</v>
      </c>
      <c r="D97" s="668">
        <v>-17.277329595876999</v>
      </c>
      <c r="E97" s="669">
        <v>0.96418582649200002</v>
      </c>
      <c r="F97" s="667">
        <v>482.35995043434599</v>
      </c>
      <c r="G97" s="668">
        <v>482.35995043434599</v>
      </c>
      <c r="H97" s="670">
        <v>41.312860000000001</v>
      </c>
      <c r="I97" s="667">
        <v>486.20409000000001</v>
      </c>
      <c r="J97" s="668">
        <v>3.8441395656530002</v>
      </c>
      <c r="K97" s="671">
        <v>1.0079694418289999</v>
      </c>
    </row>
    <row r="98" spans="1:11" ht="14.45" customHeight="1" thickBot="1" x14ac:dyDescent="0.25">
      <c r="A98" s="689" t="s">
        <v>397</v>
      </c>
      <c r="B98" s="667">
        <v>30.398807713176001</v>
      </c>
      <c r="C98" s="667">
        <v>20.9572</v>
      </c>
      <c r="D98" s="668">
        <v>-9.4416077131759995</v>
      </c>
      <c r="E98" s="669">
        <v>0.68940861752600002</v>
      </c>
      <c r="F98" s="667">
        <v>0</v>
      </c>
      <c r="G98" s="668">
        <v>0</v>
      </c>
      <c r="H98" s="670">
        <v>0</v>
      </c>
      <c r="I98" s="667">
        <v>0</v>
      </c>
      <c r="J98" s="668">
        <v>0</v>
      </c>
      <c r="K98" s="678" t="s">
        <v>306</v>
      </c>
    </row>
    <row r="99" spans="1:11" ht="14.45" customHeight="1" thickBot="1" x14ac:dyDescent="0.25">
      <c r="A99" s="689" t="s">
        <v>398</v>
      </c>
      <c r="B99" s="667">
        <v>0</v>
      </c>
      <c r="C99" s="667">
        <v>0</v>
      </c>
      <c r="D99" s="668">
        <v>0</v>
      </c>
      <c r="E99" s="669">
        <v>1</v>
      </c>
      <c r="F99" s="667">
        <v>0</v>
      </c>
      <c r="G99" s="668">
        <v>0</v>
      </c>
      <c r="H99" s="670">
        <v>88.905289999998999</v>
      </c>
      <c r="I99" s="667">
        <v>484.11420999999899</v>
      </c>
      <c r="J99" s="668">
        <v>484.11420999999899</v>
      </c>
      <c r="K99" s="678" t="s">
        <v>350</v>
      </c>
    </row>
    <row r="100" spans="1:11" ht="14.45" customHeight="1" thickBot="1" x14ac:dyDescent="0.25">
      <c r="A100" s="688" t="s">
        <v>399</v>
      </c>
      <c r="B100" s="672">
        <v>390.716515495642</v>
      </c>
      <c r="C100" s="672">
        <v>380.303730000001</v>
      </c>
      <c r="D100" s="673">
        <v>-10.412785495641</v>
      </c>
      <c r="E100" s="679">
        <v>0.97334951279799997</v>
      </c>
      <c r="F100" s="672">
        <v>328.09552710254201</v>
      </c>
      <c r="G100" s="673">
        <v>328.09552710254201</v>
      </c>
      <c r="H100" s="675">
        <v>57.544029999999999</v>
      </c>
      <c r="I100" s="672">
        <v>467.54853000000003</v>
      </c>
      <c r="J100" s="673">
        <v>139.45300289745799</v>
      </c>
      <c r="K100" s="680">
        <v>1.425037805693</v>
      </c>
    </row>
    <row r="101" spans="1:11" ht="14.45" customHeight="1" thickBot="1" x14ac:dyDescent="0.25">
      <c r="A101" s="689" t="s">
        <v>400</v>
      </c>
      <c r="B101" s="667">
        <v>0</v>
      </c>
      <c r="C101" s="667">
        <v>1.1000000000000001</v>
      </c>
      <c r="D101" s="668">
        <v>1.1000000000000001</v>
      </c>
      <c r="E101" s="677" t="s">
        <v>306</v>
      </c>
      <c r="F101" s="667">
        <v>0.87999464963200003</v>
      </c>
      <c r="G101" s="668">
        <v>0.87999464963200003</v>
      </c>
      <c r="H101" s="670">
        <v>0</v>
      </c>
      <c r="I101" s="667">
        <v>16.508999999998998</v>
      </c>
      <c r="J101" s="668">
        <v>15.629005350367001</v>
      </c>
      <c r="K101" s="671">
        <v>18.760341334909</v>
      </c>
    </row>
    <row r="102" spans="1:11" ht="14.45" customHeight="1" thickBot="1" x14ac:dyDescent="0.25">
      <c r="A102" s="689" t="s">
        <v>401</v>
      </c>
      <c r="B102" s="667">
        <v>354.46523832652099</v>
      </c>
      <c r="C102" s="667">
        <v>340.29922000000101</v>
      </c>
      <c r="D102" s="668">
        <v>-14.16601832652</v>
      </c>
      <c r="E102" s="669">
        <v>0.96003552169600004</v>
      </c>
      <c r="F102" s="667">
        <v>282.07476583773399</v>
      </c>
      <c r="G102" s="668">
        <v>282.07476583773399</v>
      </c>
      <c r="H102" s="670">
        <v>44.764110000000002</v>
      </c>
      <c r="I102" s="667">
        <v>383.91246999999998</v>
      </c>
      <c r="J102" s="668">
        <v>101.83770416226599</v>
      </c>
      <c r="K102" s="671">
        <v>1.3610308914360001</v>
      </c>
    </row>
    <row r="103" spans="1:11" ht="14.45" customHeight="1" thickBot="1" x14ac:dyDescent="0.25">
      <c r="A103" s="689" t="s">
        <v>402</v>
      </c>
      <c r="B103" s="667">
        <v>0</v>
      </c>
      <c r="C103" s="667">
        <v>2.5830000000000002</v>
      </c>
      <c r="D103" s="668">
        <v>2.5830000000000002</v>
      </c>
      <c r="E103" s="677" t="s">
        <v>350</v>
      </c>
      <c r="F103" s="667">
        <v>5</v>
      </c>
      <c r="G103" s="668">
        <v>5</v>
      </c>
      <c r="H103" s="670">
        <v>0</v>
      </c>
      <c r="I103" s="667">
        <v>2.3993000000000002</v>
      </c>
      <c r="J103" s="668">
        <v>-2.6006999999999998</v>
      </c>
      <c r="K103" s="671">
        <v>0.47986000000000001</v>
      </c>
    </row>
    <row r="104" spans="1:11" ht="14.45" customHeight="1" thickBot="1" x14ac:dyDescent="0.25">
      <c r="A104" s="689" t="s">
        <v>403</v>
      </c>
      <c r="B104" s="667">
        <v>0</v>
      </c>
      <c r="C104" s="667">
        <v>1.89</v>
      </c>
      <c r="D104" s="668">
        <v>1.89</v>
      </c>
      <c r="E104" s="677" t="s">
        <v>350</v>
      </c>
      <c r="F104" s="667">
        <v>3.5717844282120002</v>
      </c>
      <c r="G104" s="668">
        <v>3.5717844282120002</v>
      </c>
      <c r="H104" s="670">
        <v>0</v>
      </c>
      <c r="I104" s="667">
        <v>0.32099999999899997</v>
      </c>
      <c r="J104" s="668">
        <v>-3.250784428212</v>
      </c>
      <c r="K104" s="671">
        <v>8.9871045258000007E-2</v>
      </c>
    </row>
    <row r="105" spans="1:11" ht="14.45" customHeight="1" thickBot="1" x14ac:dyDescent="0.25">
      <c r="A105" s="689" t="s">
        <v>404</v>
      </c>
      <c r="B105" s="667">
        <v>36.251277169121003</v>
      </c>
      <c r="C105" s="667">
        <v>34.431510000000003</v>
      </c>
      <c r="D105" s="668">
        <v>-1.819767169121</v>
      </c>
      <c r="E105" s="669">
        <v>0.94980129498200006</v>
      </c>
      <c r="F105" s="667">
        <v>36.568982186962998</v>
      </c>
      <c r="G105" s="668">
        <v>36.568982186962998</v>
      </c>
      <c r="H105" s="670">
        <v>12.779920000000001</v>
      </c>
      <c r="I105" s="667">
        <v>64.406759999998997</v>
      </c>
      <c r="J105" s="668">
        <v>27.837777813035999</v>
      </c>
      <c r="K105" s="671">
        <v>1.76124015896</v>
      </c>
    </row>
    <row r="106" spans="1:11" ht="14.45" customHeight="1" thickBot="1" x14ac:dyDescent="0.25">
      <c r="A106" s="686" t="s">
        <v>35</v>
      </c>
      <c r="B106" s="667">
        <v>49393.942529452899</v>
      </c>
      <c r="C106" s="667">
        <v>54222.825610000102</v>
      </c>
      <c r="D106" s="668">
        <v>4828.8830805472198</v>
      </c>
      <c r="E106" s="669">
        <v>1.0977626573870001</v>
      </c>
      <c r="F106" s="667">
        <v>58551.690292000101</v>
      </c>
      <c r="G106" s="668">
        <v>58551.690292000101</v>
      </c>
      <c r="H106" s="670">
        <v>5281.1443899999904</v>
      </c>
      <c r="I106" s="667">
        <v>61485.2216999999</v>
      </c>
      <c r="J106" s="668">
        <v>2933.5314079998798</v>
      </c>
      <c r="K106" s="671">
        <v>1.050101566553</v>
      </c>
    </row>
    <row r="107" spans="1:11" ht="14.45" customHeight="1" thickBot="1" x14ac:dyDescent="0.25">
      <c r="A107" s="692" t="s">
        <v>405</v>
      </c>
      <c r="B107" s="672">
        <v>36362.3025294529</v>
      </c>
      <c r="C107" s="672">
        <v>39973.1510000001</v>
      </c>
      <c r="D107" s="673">
        <v>3610.8484705471901</v>
      </c>
      <c r="E107" s="679">
        <v>1.09930197538</v>
      </c>
      <c r="F107" s="672">
        <v>42338.190000000097</v>
      </c>
      <c r="G107" s="673">
        <v>42338.190000000097</v>
      </c>
      <c r="H107" s="675">
        <v>3926.22</v>
      </c>
      <c r="I107" s="672">
        <v>45310.633000000002</v>
      </c>
      <c r="J107" s="673">
        <v>2972.4429999998902</v>
      </c>
      <c r="K107" s="680">
        <v>1.0702071345040001</v>
      </c>
    </row>
    <row r="108" spans="1:11" ht="14.45" customHeight="1" thickBot="1" x14ac:dyDescent="0.25">
      <c r="A108" s="688" t="s">
        <v>406</v>
      </c>
      <c r="B108" s="672">
        <v>36198.999999999898</v>
      </c>
      <c r="C108" s="672">
        <v>39803.911000000102</v>
      </c>
      <c r="D108" s="673">
        <v>3604.9110000001701</v>
      </c>
      <c r="E108" s="679">
        <v>1.099585927788</v>
      </c>
      <c r="F108" s="672">
        <v>42182.460000000101</v>
      </c>
      <c r="G108" s="673">
        <v>42182.460000000101</v>
      </c>
      <c r="H108" s="675">
        <v>3901.991</v>
      </c>
      <c r="I108" s="672">
        <v>45132.402000000002</v>
      </c>
      <c r="J108" s="673">
        <v>2949.94199999989</v>
      </c>
      <c r="K108" s="680">
        <v>1.069932905762</v>
      </c>
    </row>
    <row r="109" spans="1:11" ht="14.45" customHeight="1" thickBot="1" x14ac:dyDescent="0.25">
      <c r="A109" s="689" t="s">
        <v>407</v>
      </c>
      <c r="B109" s="667">
        <v>36198.999999999898</v>
      </c>
      <c r="C109" s="667">
        <v>39803.911000000102</v>
      </c>
      <c r="D109" s="668">
        <v>3604.9110000001701</v>
      </c>
      <c r="E109" s="669">
        <v>1.099585927788</v>
      </c>
      <c r="F109" s="667">
        <v>42182.460000000101</v>
      </c>
      <c r="G109" s="668">
        <v>42182.460000000101</v>
      </c>
      <c r="H109" s="670">
        <v>3901.991</v>
      </c>
      <c r="I109" s="667">
        <v>45132.402000000002</v>
      </c>
      <c r="J109" s="668">
        <v>2949.94199999989</v>
      </c>
      <c r="K109" s="671">
        <v>1.069932905762</v>
      </c>
    </row>
    <row r="110" spans="1:11" ht="14.45" customHeight="1" thickBot="1" x14ac:dyDescent="0.25">
      <c r="A110" s="688" t="s">
        <v>408</v>
      </c>
      <c r="B110" s="672">
        <v>77.031529452979001</v>
      </c>
      <c r="C110" s="672">
        <v>48</v>
      </c>
      <c r="D110" s="673">
        <v>-29.031529452979001</v>
      </c>
      <c r="E110" s="679">
        <v>0.62312147169900001</v>
      </c>
      <c r="F110" s="672">
        <v>47.04</v>
      </c>
      <c r="G110" s="673">
        <v>47.04</v>
      </c>
      <c r="H110" s="675">
        <v>0</v>
      </c>
      <c r="I110" s="672">
        <v>0</v>
      </c>
      <c r="J110" s="673">
        <v>-47.04</v>
      </c>
      <c r="K110" s="680">
        <v>0</v>
      </c>
    </row>
    <row r="111" spans="1:11" ht="14.45" customHeight="1" thickBot="1" x14ac:dyDescent="0.25">
      <c r="A111" s="689" t="s">
        <v>409</v>
      </c>
      <c r="B111" s="667">
        <v>77.031529452979001</v>
      </c>
      <c r="C111" s="667">
        <v>48</v>
      </c>
      <c r="D111" s="668">
        <v>-29.031529452979001</v>
      </c>
      <c r="E111" s="669">
        <v>0.62312147169900001</v>
      </c>
      <c r="F111" s="667">
        <v>47.04</v>
      </c>
      <c r="G111" s="668">
        <v>47.04</v>
      </c>
      <c r="H111" s="670">
        <v>0</v>
      </c>
      <c r="I111" s="667">
        <v>0</v>
      </c>
      <c r="J111" s="668">
        <v>-47.04</v>
      </c>
      <c r="K111" s="671">
        <v>0</v>
      </c>
    </row>
    <row r="112" spans="1:11" ht="14.45" customHeight="1" thickBot="1" x14ac:dyDescent="0.25">
      <c r="A112" s="688" t="s">
        <v>410</v>
      </c>
      <c r="B112" s="672">
        <v>86.271000000000001</v>
      </c>
      <c r="C112" s="672">
        <v>105.24</v>
      </c>
      <c r="D112" s="673">
        <v>18.969000000000001</v>
      </c>
      <c r="E112" s="679">
        <v>1.219876899537</v>
      </c>
      <c r="F112" s="672">
        <v>90.09</v>
      </c>
      <c r="G112" s="673">
        <v>90.09</v>
      </c>
      <c r="H112" s="675">
        <v>16.728999999999999</v>
      </c>
      <c r="I112" s="672">
        <v>127.73099999999999</v>
      </c>
      <c r="J112" s="673">
        <v>37.640999999999003</v>
      </c>
      <c r="K112" s="680">
        <v>1.417815517815</v>
      </c>
    </row>
    <row r="113" spans="1:11" ht="14.45" customHeight="1" thickBot="1" x14ac:dyDescent="0.25">
      <c r="A113" s="689" t="s">
        <v>411</v>
      </c>
      <c r="B113" s="667">
        <v>86.271000000000001</v>
      </c>
      <c r="C113" s="667">
        <v>105.24</v>
      </c>
      <c r="D113" s="668">
        <v>18.969000000000001</v>
      </c>
      <c r="E113" s="669">
        <v>1.219876899537</v>
      </c>
      <c r="F113" s="667">
        <v>90.09</v>
      </c>
      <c r="G113" s="668">
        <v>90.09</v>
      </c>
      <c r="H113" s="670">
        <v>16.728999999999999</v>
      </c>
      <c r="I113" s="667">
        <v>127.73099999999999</v>
      </c>
      <c r="J113" s="668">
        <v>37.640999999999003</v>
      </c>
      <c r="K113" s="671">
        <v>1.417815517815</v>
      </c>
    </row>
    <row r="114" spans="1:11" ht="14.45" customHeight="1" thickBot="1" x14ac:dyDescent="0.25">
      <c r="A114" s="691" t="s">
        <v>412</v>
      </c>
      <c r="B114" s="667">
        <v>0</v>
      </c>
      <c r="C114" s="667">
        <v>16</v>
      </c>
      <c r="D114" s="668">
        <v>16</v>
      </c>
      <c r="E114" s="677" t="s">
        <v>306</v>
      </c>
      <c r="F114" s="667">
        <v>18.600000000000001</v>
      </c>
      <c r="G114" s="668">
        <v>18.600000000000001</v>
      </c>
      <c r="H114" s="670">
        <v>7.4999999999989999</v>
      </c>
      <c r="I114" s="667">
        <v>50.5</v>
      </c>
      <c r="J114" s="668">
        <v>31.9</v>
      </c>
      <c r="K114" s="671">
        <v>2.7150537634399998</v>
      </c>
    </row>
    <row r="115" spans="1:11" ht="14.45" customHeight="1" thickBot="1" x14ac:dyDescent="0.25">
      <c r="A115" s="689" t="s">
        <v>413</v>
      </c>
      <c r="B115" s="667">
        <v>0</v>
      </c>
      <c r="C115" s="667">
        <v>16</v>
      </c>
      <c r="D115" s="668">
        <v>16</v>
      </c>
      <c r="E115" s="677" t="s">
        <v>306</v>
      </c>
      <c r="F115" s="667">
        <v>18.600000000000001</v>
      </c>
      <c r="G115" s="668">
        <v>18.600000000000001</v>
      </c>
      <c r="H115" s="670">
        <v>7.4999999999989999</v>
      </c>
      <c r="I115" s="667">
        <v>50.5</v>
      </c>
      <c r="J115" s="668">
        <v>31.9</v>
      </c>
      <c r="K115" s="671">
        <v>2.7150537634399998</v>
      </c>
    </row>
    <row r="116" spans="1:11" ht="14.45" customHeight="1" thickBot="1" x14ac:dyDescent="0.25">
      <c r="A116" s="687" t="s">
        <v>414</v>
      </c>
      <c r="B116" s="667">
        <v>12307.66</v>
      </c>
      <c r="C116" s="667">
        <v>13451.47595</v>
      </c>
      <c r="D116" s="668">
        <v>1143.8159500000299</v>
      </c>
      <c r="E116" s="669">
        <v>1.092935289892</v>
      </c>
      <c r="F116" s="667">
        <v>15128.01</v>
      </c>
      <c r="G116" s="668">
        <v>15128.01</v>
      </c>
      <c r="H116" s="670">
        <v>1276.5468900000001</v>
      </c>
      <c r="I116" s="667">
        <v>15269.33807</v>
      </c>
      <c r="J116" s="668">
        <v>141.32806999999599</v>
      </c>
      <c r="K116" s="671">
        <v>1.0093421454630001</v>
      </c>
    </row>
    <row r="117" spans="1:11" ht="14.45" customHeight="1" thickBot="1" x14ac:dyDescent="0.25">
      <c r="A117" s="688" t="s">
        <v>415</v>
      </c>
      <c r="B117" s="672">
        <v>3257.9100000000099</v>
      </c>
      <c r="C117" s="672">
        <v>3583.8022000000101</v>
      </c>
      <c r="D117" s="673">
        <v>325.8922</v>
      </c>
      <c r="E117" s="679">
        <v>1.100031062859</v>
      </c>
      <c r="F117" s="672">
        <v>4035.0599999999899</v>
      </c>
      <c r="G117" s="673">
        <v>4035.0599999999899</v>
      </c>
      <c r="H117" s="675">
        <v>351.8553</v>
      </c>
      <c r="I117" s="672">
        <v>4066.4585000000002</v>
      </c>
      <c r="J117" s="673">
        <v>31.398500000003001</v>
      </c>
      <c r="K117" s="680">
        <v>1.0077814208460001</v>
      </c>
    </row>
    <row r="118" spans="1:11" ht="14.45" customHeight="1" thickBot="1" x14ac:dyDescent="0.25">
      <c r="A118" s="689" t="s">
        <v>416</v>
      </c>
      <c r="B118" s="667">
        <v>3257.9100000000099</v>
      </c>
      <c r="C118" s="667">
        <v>3583.8022000000101</v>
      </c>
      <c r="D118" s="668">
        <v>325.8922</v>
      </c>
      <c r="E118" s="669">
        <v>1.100031062859</v>
      </c>
      <c r="F118" s="667">
        <v>4035.0599999999899</v>
      </c>
      <c r="G118" s="668">
        <v>4035.0599999999899</v>
      </c>
      <c r="H118" s="670">
        <v>351.8553</v>
      </c>
      <c r="I118" s="667">
        <v>4066.4585000000002</v>
      </c>
      <c r="J118" s="668">
        <v>31.398500000003001</v>
      </c>
      <c r="K118" s="671">
        <v>1.0077814208460001</v>
      </c>
    </row>
    <row r="119" spans="1:11" ht="14.45" customHeight="1" thickBot="1" x14ac:dyDescent="0.25">
      <c r="A119" s="688" t="s">
        <v>417</v>
      </c>
      <c r="B119" s="672">
        <v>9049.7499999999909</v>
      </c>
      <c r="C119" s="672">
        <v>9867.6737500000199</v>
      </c>
      <c r="D119" s="673">
        <v>817.92375000002903</v>
      </c>
      <c r="E119" s="679">
        <v>1.0903808116239999</v>
      </c>
      <c r="F119" s="672">
        <v>11092.95</v>
      </c>
      <c r="G119" s="673">
        <v>11092.95</v>
      </c>
      <c r="H119" s="675">
        <v>924.691589999999</v>
      </c>
      <c r="I119" s="672">
        <v>11202.879569999999</v>
      </c>
      <c r="J119" s="673">
        <v>109.929569999995</v>
      </c>
      <c r="K119" s="680">
        <v>1.0099098589640001</v>
      </c>
    </row>
    <row r="120" spans="1:11" ht="14.45" customHeight="1" thickBot="1" x14ac:dyDescent="0.25">
      <c r="A120" s="689" t="s">
        <v>418</v>
      </c>
      <c r="B120" s="667">
        <v>9049.7499999999909</v>
      </c>
      <c r="C120" s="667">
        <v>9867.6737500000199</v>
      </c>
      <c r="D120" s="668">
        <v>817.92375000002903</v>
      </c>
      <c r="E120" s="669">
        <v>1.0903808116239999</v>
      </c>
      <c r="F120" s="667">
        <v>11092.95</v>
      </c>
      <c r="G120" s="668">
        <v>11092.95</v>
      </c>
      <c r="H120" s="670">
        <v>924.691589999999</v>
      </c>
      <c r="I120" s="667">
        <v>11202.879569999999</v>
      </c>
      <c r="J120" s="668">
        <v>109.929569999995</v>
      </c>
      <c r="K120" s="671">
        <v>1.0099098589640001</v>
      </c>
    </row>
    <row r="121" spans="1:11" ht="14.45" customHeight="1" thickBot="1" x14ac:dyDescent="0.25">
      <c r="A121" s="687" t="s">
        <v>419</v>
      </c>
      <c r="B121" s="667">
        <v>0</v>
      </c>
      <c r="C121" s="667">
        <v>0</v>
      </c>
      <c r="D121" s="668">
        <v>0</v>
      </c>
      <c r="E121" s="669">
        <v>1</v>
      </c>
      <c r="F121" s="667">
        <v>187.850292</v>
      </c>
      <c r="G121" s="668">
        <v>187.850292</v>
      </c>
      <c r="H121" s="670">
        <v>0</v>
      </c>
      <c r="I121" s="667">
        <v>0</v>
      </c>
      <c r="J121" s="668">
        <v>-187.850292</v>
      </c>
      <c r="K121" s="671">
        <v>0</v>
      </c>
    </row>
    <row r="122" spans="1:11" ht="14.45" customHeight="1" thickBot="1" x14ac:dyDescent="0.25">
      <c r="A122" s="688" t="s">
        <v>420</v>
      </c>
      <c r="B122" s="672">
        <v>0</v>
      </c>
      <c r="C122" s="672">
        <v>0</v>
      </c>
      <c r="D122" s="673">
        <v>0</v>
      </c>
      <c r="E122" s="679">
        <v>1</v>
      </c>
      <c r="F122" s="672">
        <v>187.850292</v>
      </c>
      <c r="G122" s="673">
        <v>187.850292</v>
      </c>
      <c r="H122" s="675">
        <v>0</v>
      </c>
      <c r="I122" s="672">
        <v>0</v>
      </c>
      <c r="J122" s="673">
        <v>-187.850292</v>
      </c>
      <c r="K122" s="680">
        <v>0</v>
      </c>
    </row>
    <row r="123" spans="1:11" ht="14.45" customHeight="1" thickBot="1" x14ac:dyDescent="0.25">
      <c r="A123" s="689" t="s">
        <v>421</v>
      </c>
      <c r="B123" s="667">
        <v>0</v>
      </c>
      <c r="C123" s="667">
        <v>0</v>
      </c>
      <c r="D123" s="668">
        <v>0</v>
      </c>
      <c r="E123" s="669">
        <v>1</v>
      </c>
      <c r="F123" s="667">
        <v>187.850292</v>
      </c>
      <c r="G123" s="668">
        <v>187.850292</v>
      </c>
      <c r="H123" s="670">
        <v>0</v>
      </c>
      <c r="I123" s="667">
        <v>0</v>
      </c>
      <c r="J123" s="668">
        <v>-187.850292</v>
      </c>
      <c r="K123" s="671">
        <v>0</v>
      </c>
    </row>
    <row r="124" spans="1:11" ht="14.45" customHeight="1" thickBot="1" x14ac:dyDescent="0.25">
      <c r="A124" s="687" t="s">
        <v>422</v>
      </c>
      <c r="B124" s="667">
        <v>723.98000000000297</v>
      </c>
      <c r="C124" s="667">
        <v>798.19866000000104</v>
      </c>
      <c r="D124" s="668">
        <v>74.218659999997996</v>
      </c>
      <c r="E124" s="669">
        <v>1.102514793226</v>
      </c>
      <c r="F124" s="667">
        <v>897.63999999999896</v>
      </c>
      <c r="G124" s="668">
        <v>897.63999999999896</v>
      </c>
      <c r="H124" s="670">
        <v>78.377499999999003</v>
      </c>
      <c r="I124" s="667">
        <v>905.25062999999898</v>
      </c>
      <c r="J124" s="668">
        <v>7.6106299999999996</v>
      </c>
      <c r="K124" s="671">
        <v>1.008478488035</v>
      </c>
    </row>
    <row r="125" spans="1:11" ht="14.45" customHeight="1" thickBot="1" x14ac:dyDescent="0.25">
      <c r="A125" s="688" t="s">
        <v>423</v>
      </c>
      <c r="B125" s="672">
        <v>723.98000000000297</v>
      </c>
      <c r="C125" s="672">
        <v>798.19866000000104</v>
      </c>
      <c r="D125" s="673">
        <v>74.218659999997996</v>
      </c>
      <c r="E125" s="679">
        <v>1.102514793226</v>
      </c>
      <c r="F125" s="672">
        <v>897.63999999999896</v>
      </c>
      <c r="G125" s="673">
        <v>897.63999999999896</v>
      </c>
      <c r="H125" s="675">
        <v>78.377499999999003</v>
      </c>
      <c r="I125" s="672">
        <v>905.25062999999898</v>
      </c>
      <c r="J125" s="673">
        <v>7.6106299999999996</v>
      </c>
      <c r="K125" s="680">
        <v>1.008478488035</v>
      </c>
    </row>
    <row r="126" spans="1:11" ht="14.45" customHeight="1" thickBot="1" x14ac:dyDescent="0.25">
      <c r="A126" s="689" t="s">
        <v>424</v>
      </c>
      <c r="B126" s="667">
        <v>723.98000000000297</v>
      </c>
      <c r="C126" s="667">
        <v>798.19866000000104</v>
      </c>
      <c r="D126" s="668">
        <v>74.218659999997996</v>
      </c>
      <c r="E126" s="669">
        <v>1.102514793226</v>
      </c>
      <c r="F126" s="667">
        <v>897.63999999999896</v>
      </c>
      <c r="G126" s="668">
        <v>897.63999999999896</v>
      </c>
      <c r="H126" s="670">
        <v>78.377499999999003</v>
      </c>
      <c r="I126" s="667">
        <v>905.25062999999898</v>
      </c>
      <c r="J126" s="668">
        <v>7.6106299999999996</v>
      </c>
      <c r="K126" s="671">
        <v>1.008478488035</v>
      </c>
    </row>
    <row r="127" spans="1:11" ht="14.45" customHeight="1" thickBot="1" x14ac:dyDescent="0.25">
      <c r="A127" s="686" t="s">
        <v>425</v>
      </c>
      <c r="B127" s="667">
        <v>6.9868248445779999</v>
      </c>
      <c r="C127" s="667">
        <v>95.320999999999998</v>
      </c>
      <c r="D127" s="668">
        <v>88.334175155420994</v>
      </c>
      <c r="E127" s="669">
        <v>13.642964024489</v>
      </c>
      <c r="F127" s="667">
        <v>0</v>
      </c>
      <c r="G127" s="668">
        <v>0</v>
      </c>
      <c r="H127" s="670">
        <v>6.1339999999990003</v>
      </c>
      <c r="I127" s="667">
        <v>43.918399999999998</v>
      </c>
      <c r="J127" s="668">
        <v>43.918399999999998</v>
      </c>
      <c r="K127" s="678" t="s">
        <v>306</v>
      </c>
    </row>
    <row r="128" spans="1:11" ht="14.45" customHeight="1" thickBot="1" x14ac:dyDescent="0.25">
      <c r="A128" s="687" t="s">
        <v>426</v>
      </c>
      <c r="B128" s="667">
        <v>6.9868248445779999</v>
      </c>
      <c r="C128" s="667">
        <v>95.320999999999998</v>
      </c>
      <c r="D128" s="668">
        <v>88.334175155420994</v>
      </c>
      <c r="E128" s="669">
        <v>13.642964024489</v>
      </c>
      <c r="F128" s="667">
        <v>0</v>
      </c>
      <c r="G128" s="668">
        <v>0</v>
      </c>
      <c r="H128" s="670">
        <v>6.1339999999990003</v>
      </c>
      <c r="I128" s="667">
        <v>43.918399999999998</v>
      </c>
      <c r="J128" s="668">
        <v>43.918399999999998</v>
      </c>
      <c r="K128" s="678" t="s">
        <v>306</v>
      </c>
    </row>
    <row r="129" spans="1:11" ht="14.45" customHeight="1" thickBot="1" x14ac:dyDescent="0.25">
      <c r="A129" s="688" t="s">
        <v>427</v>
      </c>
      <c r="B129" s="672">
        <v>0</v>
      </c>
      <c r="C129" s="672">
        <v>28.193999999999999</v>
      </c>
      <c r="D129" s="673">
        <v>28.193999999999999</v>
      </c>
      <c r="E129" s="674" t="s">
        <v>306</v>
      </c>
      <c r="F129" s="672">
        <v>0</v>
      </c>
      <c r="G129" s="673">
        <v>0</v>
      </c>
      <c r="H129" s="675">
        <v>0</v>
      </c>
      <c r="I129" s="672">
        <v>31.3264</v>
      </c>
      <c r="J129" s="673">
        <v>31.3264</v>
      </c>
      <c r="K129" s="676" t="s">
        <v>306</v>
      </c>
    </row>
    <row r="130" spans="1:11" ht="14.45" customHeight="1" thickBot="1" x14ac:dyDescent="0.25">
      <c r="A130" s="689" t="s">
        <v>428</v>
      </c>
      <c r="B130" s="667">
        <v>0</v>
      </c>
      <c r="C130" s="667">
        <v>0</v>
      </c>
      <c r="D130" s="668">
        <v>0</v>
      </c>
      <c r="E130" s="677" t="s">
        <v>306</v>
      </c>
      <c r="F130" s="667">
        <v>0</v>
      </c>
      <c r="G130" s="668">
        <v>0</v>
      </c>
      <c r="H130" s="670">
        <v>0</v>
      </c>
      <c r="I130" s="667">
        <v>0.32639999999899999</v>
      </c>
      <c r="J130" s="668">
        <v>0.32639999999899999</v>
      </c>
      <c r="K130" s="678" t="s">
        <v>350</v>
      </c>
    </row>
    <row r="131" spans="1:11" ht="14.45" customHeight="1" thickBot="1" x14ac:dyDescent="0.25">
      <c r="A131" s="689" t="s">
        <v>429</v>
      </c>
      <c r="B131" s="667">
        <v>0</v>
      </c>
      <c r="C131" s="667">
        <v>18.315999999999999</v>
      </c>
      <c r="D131" s="668">
        <v>18.315999999999999</v>
      </c>
      <c r="E131" s="677" t="s">
        <v>350</v>
      </c>
      <c r="F131" s="667">
        <v>0</v>
      </c>
      <c r="G131" s="668">
        <v>0</v>
      </c>
      <c r="H131" s="670">
        <v>0</v>
      </c>
      <c r="I131" s="667">
        <v>0</v>
      </c>
      <c r="J131" s="668">
        <v>0</v>
      </c>
      <c r="K131" s="678" t="s">
        <v>306</v>
      </c>
    </row>
    <row r="132" spans="1:11" ht="14.45" customHeight="1" thickBot="1" x14ac:dyDescent="0.25">
      <c r="A132" s="689" t="s">
        <v>430</v>
      </c>
      <c r="B132" s="667">
        <v>0</v>
      </c>
      <c r="C132" s="667">
        <v>9.7680000000000007</v>
      </c>
      <c r="D132" s="668">
        <v>9.7680000000000007</v>
      </c>
      <c r="E132" s="677" t="s">
        <v>306</v>
      </c>
      <c r="F132" s="667">
        <v>0</v>
      </c>
      <c r="G132" s="668">
        <v>0</v>
      </c>
      <c r="H132" s="670">
        <v>0</v>
      </c>
      <c r="I132" s="667">
        <v>31</v>
      </c>
      <c r="J132" s="668">
        <v>31</v>
      </c>
      <c r="K132" s="678" t="s">
        <v>306</v>
      </c>
    </row>
    <row r="133" spans="1:11" ht="14.45" customHeight="1" thickBot="1" x14ac:dyDescent="0.25">
      <c r="A133" s="689" t="s">
        <v>431</v>
      </c>
      <c r="B133" s="667">
        <v>0</v>
      </c>
      <c r="C133" s="667">
        <v>0.11</v>
      </c>
      <c r="D133" s="668">
        <v>0.11</v>
      </c>
      <c r="E133" s="677" t="s">
        <v>350</v>
      </c>
      <c r="F133" s="667">
        <v>0</v>
      </c>
      <c r="G133" s="668">
        <v>0</v>
      </c>
      <c r="H133" s="670">
        <v>0</v>
      </c>
      <c r="I133" s="667">
        <v>0</v>
      </c>
      <c r="J133" s="668">
        <v>0</v>
      </c>
      <c r="K133" s="678" t="s">
        <v>306</v>
      </c>
    </row>
    <row r="134" spans="1:11" ht="14.45" customHeight="1" thickBot="1" x14ac:dyDescent="0.25">
      <c r="A134" s="691" t="s">
        <v>432</v>
      </c>
      <c r="B134" s="667">
        <v>0</v>
      </c>
      <c r="C134" s="667">
        <v>62.682000000000002</v>
      </c>
      <c r="D134" s="668">
        <v>62.682000000000002</v>
      </c>
      <c r="E134" s="677" t="s">
        <v>306</v>
      </c>
      <c r="F134" s="667">
        <v>0</v>
      </c>
      <c r="G134" s="668">
        <v>0</v>
      </c>
      <c r="H134" s="670">
        <v>0</v>
      </c>
      <c r="I134" s="667">
        <v>0</v>
      </c>
      <c r="J134" s="668">
        <v>0</v>
      </c>
      <c r="K134" s="678" t="s">
        <v>306</v>
      </c>
    </row>
    <row r="135" spans="1:11" ht="14.45" customHeight="1" thickBot="1" x14ac:dyDescent="0.25">
      <c r="A135" s="689" t="s">
        <v>433</v>
      </c>
      <c r="B135" s="667">
        <v>0</v>
      </c>
      <c r="C135" s="667">
        <v>62.682000000000002</v>
      </c>
      <c r="D135" s="668">
        <v>62.682000000000002</v>
      </c>
      <c r="E135" s="677" t="s">
        <v>306</v>
      </c>
      <c r="F135" s="667">
        <v>0</v>
      </c>
      <c r="G135" s="668">
        <v>0</v>
      </c>
      <c r="H135" s="670">
        <v>0</v>
      </c>
      <c r="I135" s="667">
        <v>0</v>
      </c>
      <c r="J135" s="668">
        <v>0</v>
      </c>
      <c r="K135" s="678" t="s">
        <v>306</v>
      </c>
    </row>
    <row r="136" spans="1:11" ht="14.45" customHeight="1" thickBot="1" x14ac:dyDescent="0.25">
      <c r="A136" s="691" t="s">
        <v>434</v>
      </c>
      <c r="B136" s="667">
        <v>6.9868248445779999</v>
      </c>
      <c r="C136" s="667">
        <v>0</v>
      </c>
      <c r="D136" s="668">
        <v>-6.9868248445779999</v>
      </c>
      <c r="E136" s="669">
        <v>0</v>
      </c>
      <c r="F136" s="667">
        <v>0</v>
      </c>
      <c r="G136" s="668">
        <v>0</v>
      </c>
      <c r="H136" s="670">
        <v>0</v>
      </c>
      <c r="I136" s="667">
        <v>-2.39808173319034E-14</v>
      </c>
      <c r="J136" s="668">
        <v>-2.39808173319034E-14</v>
      </c>
      <c r="K136" s="678" t="s">
        <v>350</v>
      </c>
    </row>
    <row r="137" spans="1:11" ht="14.45" customHeight="1" thickBot="1" x14ac:dyDescent="0.25">
      <c r="A137" s="689" t="s">
        <v>435</v>
      </c>
      <c r="B137" s="667">
        <v>6.9868248445779999</v>
      </c>
      <c r="C137" s="667">
        <v>0</v>
      </c>
      <c r="D137" s="668">
        <v>-6.9868248445779999</v>
      </c>
      <c r="E137" s="669">
        <v>0</v>
      </c>
      <c r="F137" s="667">
        <v>0</v>
      </c>
      <c r="G137" s="668">
        <v>0</v>
      </c>
      <c r="H137" s="670">
        <v>0</v>
      </c>
      <c r="I137" s="667">
        <v>-2.39808173319034E-14</v>
      </c>
      <c r="J137" s="668">
        <v>-2.39808173319034E-14</v>
      </c>
      <c r="K137" s="678" t="s">
        <v>350</v>
      </c>
    </row>
    <row r="138" spans="1:11" ht="14.45" customHeight="1" thickBot="1" x14ac:dyDescent="0.25">
      <c r="A138" s="691" t="s">
        <v>436</v>
      </c>
      <c r="B138" s="667">
        <v>0</v>
      </c>
      <c r="C138" s="667">
        <v>4.4450000000000003</v>
      </c>
      <c r="D138" s="668">
        <v>4.4450000000000003</v>
      </c>
      <c r="E138" s="677" t="s">
        <v>350</v>
      </c>
      <c r="F138" s="667">
        <v>0</v>
      </c>
      <c r="G138" s="668">
        <v>0</v>
      </c>
      <c r="H138" s="670">
        <v>6.1339999999990003</v>
      </c>
      <c r="I138" s="667">
        <v>6.1339999999990003</v>
      </c>
      <c r="J138" s="668">
        <v>6.1339999999990003</v>
      </c>
      <c r="K138" s="678" t="s">
        <v>306</v>
      </c>
    </row>
    <row r="139" spans="1:11" ht="14.45" customHeight="1" thickBot="1" x14ac:dyDescent="0.25">
      <c r="A139" s="689" t="s">
        <v>437</v>
      </c>
      <c r="B139" s="667">
        <v>0</v>
      </c>
      <c r="C139" s="667">
        <v>4.4450000000000003</v>
      </c>
      <c r="D139" s="668">
        <v>4.4450000000000003</v>
      </c>
      <c r="E139" s="677" t="s">
        <v>350</v>
      </c>
      <c r="F139" s="667">
        <v>0</v>
      </c>
      <c r="G139" s="668">
        <v>0</v>
      </c>
      <c r="H139" s="670">
        <v>6.1339999999990003</v>
      </c>
      <c r="I139" s="667">
        <v>6.1339999999990003</v>
      </c>
      <c r="J139" s="668">
        <v>6.1339999999990003</v>
      </c>
      <c r="K139" s="678" t="s">
        <v>306</v>
      </c>
    </row>
    <row r="140" spans="1:11" ht="14.45" customHeight="1" thickBot="1" x14ac:dyDescent="0.25">
      <c r="A140" s="691" t="s">
        <v>438</v>
      </c>
      <c r="B140" s="667">
        <v>0</v>
      </c>
      <c r="C140" s="667">
        <v>0</v>
      </c>
      <c r="D140" s="668">
        <v>0</v>
      </c>
      <c r="E140" s="669">
        <v>1</v>
      </c>
      <c r="F140" s="667">
        <v>0</v>
      </c>
      <c r="G140" s="668">
        <v>0</v>
      </c>
      <c r="H140" s="670">
        <v>0</v>
      </c>
      <c r="I140" s="667">
        <v>6.4579999999990001</v>
      </c>
      <c r="J140" s="668">
        <v>6.4579999999990001</v>
      </c>
      <c r="K140" s="678" t="s">
        <v>350</v>
      </c>
    </row>
    <row r="141" spans="1:11" ht="14.45" customHeight="1" thickBot="1" x14ac:dyDescent="0.25">
      <c r="A141" s="689" t="s">
        <v>439</v>
      </c>
      <c r="B141" s="667">
        <v>0</v>
      </c>
      <c r="C141" s="667">
        <v>0</v>
      </c>
      <c r="D141" s="668">
        <v>0</v>
      </c>
      <c r="E141" s="669">
        <v>1</v>
      </c>
      <c r="F141" s="667">
        <v>0</v>
      </c>
      <c r="G141" s="668">
        <v>0</v>
      </c>
      <c r="H141" s="670">
        <v>0</v>
      </c>
      <c r="I141" s="667">
        <v>6.4579999999990001</v>
      </c>
      <c r="J141" s="668">
        <v>6.4579999999990001</v>
      </c>
      <c r="K141" s="678" t="s">
        <v>350</v>
      </c>
    </row>
    <row r="142" spans="1:11" ht="14.45" customHeight="1" thickBot="1" x14ac:dyDescent="0.25">
      <c r="A142" s="686" t="s">
        <v>440</v>
      </c>
      <c r="B142" s="667">
        <v>2064.7339460255498</v>
      </c>
      <c r="C142" s="667">
        <v>2076.2552000000001</v>
      </c>
      <c r="D142" s="668">
        <v>11.521253974457</v>
      </c>
      <c r="E142" s="669">
        <v>1.005580018673</v>
      </c>
      <c r="F142" s="667">
        <v>2295.99999999997</v>
      </c>
      <c r="G142" s="668">
        <v>2295.99999999997</v>
      </c>
      <c r="H142" s="670">
        <v>181.26390000000001</v>
      </c>
      <c r="I142" s="667">
        <v>2197.36202</v>
      </c>
      <c r="J142" s="668">
        <v>-98.637979999967996</v>
      </c>
      <c r="K142" s="671">
        <v>0.95703920731699998</v>
      </c>
    </row>
    <row r="143" spans="1:11" ht="14.45" customHeight="1" thickBot="1" x14ac:dyDescent="0.25">
      <c r="A143" s="687" t="s">
        <v>441</v>
      </c>
      <c r="B143" s="667">
        <v>1843.73394602555</v>
      </c>
      <c r="C143" s="667">
        <v>1833.45</v>
      </c>
      <c r="D143" s="668">
        <v>-10.283946025543001</v>
      </c>
      <c r="E143" s="669">
        <v>0.99442221799499997</v>
      </c>
      <c r="F143" s="667">
        <v>2246.99999999997</v>
      </c>
      <c r="G143" s="668">
        <v>2246.99999999997</v>
      </c>
      <c r="H143" s="670">
        <v>181.26390000000001</v>
      </c>
      <c r="I143" s="667">
        <v>2145.1420199999998</v>
      </c>
      <c r="J143" s="668">
        <v>-101.85797999996799</v>
      </c>
      <c r="K143" s="671">
        <v>0.95466934579399998</v>
      </c>
    </row>
    <row r="144" spans="1:11" ht="14.45" customHeight="1" thickBot="1" x14ac:dyDescent="0.25">
      <c r="A144" s="688" t="s">
        <v>442</v>
      </c>
      <c r="B144" s="672">
        <v>1843.73394602555</v>
      </c>
      <c r="C144" s="672">
        <v>1828.8209999999999</v>
      </c>
      <c r="D144" s="673">
        <v>-14.912946025543</v>
      </c>
      <c r="E144" s="679">
        <v>0.99191155206600001</v>
      </c>
      <c r="F144" s="672">
        <v>2246.99999999997</v>
      </c>
      <c r="G144" s="673">
        <v>2246.99999999997</v>
      </c>
      <c r="H144" s="675">
        <v>181.26390000000001</v>
      </c>
      <c r="I144" s="672">
        <v>2139.7790199999999</v>
      </c>
      <c r="J144" s="673">
        <v>-107.220979999969</v>
      </c>
      <c r="K144" s="680">
        <v>0.95228260792099995</v>
      </c>
    </row>
    <row r="145" spans="1:11" ht="14.45" customHeight="1" thickBot="1" x14ac:dyDescent="0.25">
      <c r="A145" s="689" t="s">
        <v>443</v>
      </c>
      <c r="B145" s="667">
        <v>83.564504692876</v>
      </c>
      <c r="C145" s="667">
        <v>85.21</v>
      </c>
      <c r="D145" s="668">
        <v>1.6454953071230001</v>
      </c>
      <c r="E145" s="669">
        <v>1.0196913188579999</v>
      </c>
      <c r="F145" s="667">
        <v>84.999999999997996</v>
      </c>
      <c r="G145" s="668">
        <v>84.999999999997996</v>
      </c>
      <c r="H145" s="670">
        <v>7.742699999999</v>
      </c>
      <c r="I145" s="667">
        <v>87.481319999999002</v>
      </c>
      <c r="J145" s="668">
        <v>2.4813200000009998</v>
      </c>
      <c r="K145" s="671">
        <v>1.0291920000000001</v>
      </c>
    </row>
    <row r="146" spans="1:11" ht="14.45" customHeight="1" thickBot="1" x14ac:dyDescent="0.25">
      <c r="A146" s="689" t="s">
        <v>444</v>
      </c>
      <c r="B146" s="667">
        <v>1108.80628571441</v>
      </c>
      <c r="C146" s="667">
        <v>885.54600000000096</v>
      </c>
      <c r="D146" s="668">
        <v>-223.26028571440401</v>
      </c>
      <c r="E146" s="669">
        <v>0.79864806991899995</v>
      </c>
      <c r="F146" s="667">
        <v>885.99999999998704</v>
      </c>
      <c r="G146" s="668">
        <v>885.99999999998704</v>
      </c>
      <c r="H146" s="670">
        <v>67.521999999998997</v>
      </c>
      <c r="I146" s="667">
        <v>779.695999999999</v>
      </c>
      <c r="J146" s="668">
        <v>-106.303999999987</v>
      </c>
      <c r="K146" s="671">
        <v>0.88001805869000005</v>
      </c>
    </row>
    <row r="147" spans="1:11" ht="14.45" customHeight="1" thickBot="1" x14ac:dyDescent="0.25">
      <c r="A147" s="689" t="s">
        <v>445</v>
      </c>
      <c r="B147" s="667">
        <v>642.31910201357903</v>
      </c>
      <c r="C147" s="667">
        <v>606.06700000000103</v>
      </c>
      <c r="D147" s="668">
        <v>-36.252102013578003</v>
      </c>
      <c r="E147" s="669">
        <v>0.94356060422300003</v>
      </c>
      <c r="F147" s="667">
        <v>604.99999999999102</v>
      </c>
      <c r="G147" s="668">
        <v>604.99999999999102</v>
      </c>
      <c r="H147" s="670">
        <v>50.114199999999002</v>
      </c>
      <c r="I147" s="667">
        <v>601.93370000000004</v>
      </c>
      <c r="J147" s="668">
        <v>-3.0662999999910001</v>
      </c>
      <c r="K147" s="671">
        <v>0.99493173553699998</v>
      </c>
    </row>
    <row r="148" spans="1:11" ht="14.45" customHeight="1" thickBot="1" x14ac:dyDescent="0.25">
      <c r="A148" s="689" t="s">
        <v>446</v>
      </c>
      <c r="B148" s="667">
        <v>9.0440536046840005</v>
      </c>
      <c r="C148" s="667">
        <v>251.99800000000101</v>
      </c>
      <c r="D148" s="668">
        <v>242.953946395316</v>
      </c>
      <c r="E148" s="669">
        <v>27.863390799613999</v>
      </c>
      <c r="F148" s="667">
        <v>670.99999999999</v>
      </c>
      <c r="G148" s="668">
        <v>670.99999999999</v>
      </c>
      <c r="H148" s="670">
        <v>55.884999999999003</v>
      </c>
      <c r="I148" s="667">
        <v>670.66799999999898</v>
      </c>
      <c r="J148" s="668">
        <v>-0.33199999999000002</v>
      </c>
      <c r="K148" s="671">
        <v>0.99950521609499998</v>
      </c>
    </row>
    <row r="149" spans="1:11" ht="14.45" customHeight="1" thickBot="1" x14ac:dyDescent="0.25">
      <c r="A149" s="688" t="s">
        <v>447</v>
      </c>
      <c r="B149" s="672">
        <v>0</v>
      </c>
      <c r="C149" s="672">
        <v>4.6289999999999996</v>
      </c>
      <c r="D149" s="673">
        <v>4.6289999999999996</v>
      </c>
      <c r="E149" s="674" t="s">
        <v>350</v>
      </c>
      <c r="F149" s="672">
        <v>0</v>
      </c>
      <c r="G149" s="673">
        <v>0</v>
      </c>
      <c r="H149" s="675">
        <v>0</v>
      </c>
      <c r="I149" s="672">
        <v>5.3629999999990003</v>
      </c>
      <c r="J149" s="673">
        <v>5.3629999999990003</v>
      </c>
      <c r="K149" s="676" t="s">
        <v>306</v>
      </c>
    </row>
    <row r="150" spans="1:11" ht="14.45" customHeight="1" thickBot="1" x14ac:dyDescent="0.25">
      <c r="A150" s="689" t="s">
        <v>448</v>
      </c>
      <c r="B150" s="667">
        <v>0</v>
      </c>
      <c r="C150" s="667">
        <v>1.95</v>
      </c>
      <c r="D150" s="668">
        <v>1.95</v>
      </c>
      <c r="E150" s="677" t="s">
        <v>350</v>
      </c>
      <c r="F150" s="667">
        <v>0</v>
      </c>
      <c r="G150" s="668">
        <v>0</v>
      </c>
      <c r="H150" s="670">
        <v>0</v>
      </c>
      <c r="I150" s="667">
        <v>5.3629999999990003</v>
      </c>
      <c r="J150" s="668">
        <v>5.3629999999990003</v>
      </c>
      <c r="K150" s="678" t="s">
        <v>306</v>
      </c>
    </row>
    <row r="151" spans="1:11" ht="14.45" customHeight="1" thickBot="1" x14ac:dyDescent="0.25">
      <c r="A151" s="689" t="s">
        <v>449</v>
      </c>
      <c r="B151" s="667">
        <v>0</v>
      </c>
      <c r="C151" s="667">
        <v>2.6789999999999998</v>
      </c>
      <c r="D151" s="668">
        <v>2.6789999999999998</v>
      </c>
      <c r="E151" s="677" t="s">
        <v>350</v>
      </c>
      <c r="F151" s="667">
        <v>0</v>
      </c>
      <c r="G151" s="668">
        <v>0</v>
      </c>
      <c r="H151" s="670">
        <v>0</v>
      </c>
      <c r="I151" s="667">
        <v>0</v>
      </c>
      <c r="J151" s="668">
        <v>0</v>
      </c>
      <c r="K151" s="678" t="s">
        <v>306</v>
      </c>
    </row>
    <row r="152" spans="1:11" ht="14.45" customHeight="1" thickBot="1" x14ac:dyDescent="0.25">
      <c r="A152" s="687" t="s">
        <v>450</v>
      </c>
      <c r="B152" s="667">
        <v>221</v>
      </c>
      <c r="C152" s="667">
        <v>242.80520000000001</v>
      </c>
      <c r="D152" s="668">
        <v>21.805199999999999</v>
      </c>
      <c r="E152" s="669">
        <v>1.0986660633480001</v>
      </c>
      <c r="F152" s="667">
        <v>49</v>
      </c>
      <c r="G152" s="668">
        <v>49</v>
      </c>
      <c r="H152" s="670">
        <v>0</v>
      </c>
      <c r="I152" s="667">
        <v>52.22</v>
      </c>
      <c r="J152" s="668">
        <v>3.22</v>
      </c>
      <c r="K152" s="671">
        <v>1.0657142857140001</v>
      </c>
    </row>
    <row r="153" spans="1:11" ht="14.45" customHeight="1" thickBot="1" x14ac:dyDescent="0.25">
      <c r="A153" s="688" t="s">
        <v>451</v>
      </c>
      <c r="B153" s="672">
        <v>221</v>
      </c>
      <c r="C153" s="672">
        <v>211.22966</v>
      </c>
      <c r="D153" s="673">
        <v>-9.7703399999990008</v>
      </c>
      <c r="E153" s="679">
        <v>0.95579031674199999</v>
      </c>
      <c r="F153" s="672">
        <v>49</v>
      </c>
      <c r="G153" s="673">
        <v>49</v>
      </c>
      <c r="H153" s="675">
        <v>0</v>
      </c>
      <c r="I153" s="672">
        <v>39.999000000000002</v>
      </c>
      <c r="J153" s="673">
        <v>-9.0009999999989994</v>
      </c>
      <c r="K153" s="680">
        <v>0.81630612244800005</v>
      </c>
    </row>
    <row r="154" spans="1:11" ht="14.45" customHeight="1" thickBot="1" x14ac:dyDescent="0.25">
      <c r="A154" s="689" t="s">
        <v>452</v>
      </c>
      <c r="B154" s="667">
        <v>221</v>
      </c>
      <c r="C154" s="667">
        <v>211.22966</v>
      </c>
      <c r="D154" s="668">
        <v>-9.7703399999990008</v>
      </c>
      <c r="E154" s="669">
        <v>0.95579031674199999</v>
      </c>
      <c r="F154" s="667">
        <v>49</v>
      </c>
      <c r="G154" s="668">
        <v>49</v>
      </c>
      <c r="H154" s="670">
        <v>0</v>
      </c>
      <c r="I154" s="667">
        <v>39.999000000000002</v>
      </c>
      <c r="J154" s="668">
        <v>-9.0009999999989994</v>
      </c>
      <c r="K154" s="671">
        <v>0.81630612244800005</v>
      </c>
    </row>
    <row r="155" spans="1:11" ht="14.45" customHeight="1" thickBot="1" x14ac:dyDescent="0.25">
      <c r="A155" s="688" t="s">
        <v>453</v>
      </c>
      <c r="B155" s="672">
        <v>0</v>
      </c>
      <c r="C155" s="672">
        <v>3.0559799999999999</v>
      </c>
      <c r="D155" s="673">
        <v>3.0559799999999999</v>
      </c>
      <c r="E155" s="674" t="s">
        <v>306</v>
      </c>
      <c r="F155" s="672">
        <v>0</v>
      </c>
      <c r="G155" s="673">
        <v>0</v>
      </c>
      <c r="H155" s="675">
        <v>0</v>
      </c>
      <c r="I155" s="672">
        <v>0</v>
      </c>
      <c r="J155" s="673">
        <v>0</v>
      </c>
      <c r="K155" s="676" t="s">
        <v>306</v>
      </c>
    </row>
    <row r="156" spans="1:11" ht="14.45" customHeight="1" thickBot="1" x14ac:dyDescent="0.25">
      <c r="A156" s="689" t="s">
        <v>454</v>
      </c>
      <c r="B156" s="667">
        <v>0</v>
      </c>
      <c r="C156" s="667">
        <v>3.0559799999999999</v>
      </c>
      <c r="D156" s="668">
        <v>3.0559799999999999</v>
      </c>
      <c r="E156" s="677" t="s">
        <v>350</v>
      </c>
      <c r="F156" s="667">
        <v>0</v>
      </c>
      <c r="G156" s="668">
        <v>0</v>
      </c>
      <c r="H156" s="670">
        <v>0</v>
      </c>
      <c r="I156" s="667">
        <v>0</v>
      </c>
      <c r="J156" s="668">
        <v>0</v>
      </c>
      <c r="K156" s="678" t="s">
        <v>306</v>
      </c>
    </row>
    <row r="157" spans="1:11" ht="14.45" customHeight="1" thickBot="1" x14ac:dyDescent="0.25">
      <c r="A157" s="688" t="s">
        <v>455</v>
      </c>
      <c r="B157" s="672">
        <v>0</v>
      </c>
      <c r="C157" s="672">
        <v>4.5617000000000001</v>
      </c>
      <c r="D157" s="673">
        <v>4.5617000000000001</v>
      </c>
      <c r="E157" s="674" t="s">
        <v>350</v>
      </c>
      <c r="F157" s="672">
        <v>0</v>
      </c>
      <c r="G157" s="673">
        <v>0</v>
      </c>
      <c r="H157" s="675">
        <v>0</v>
      </c>
      <c r="I157" s="672">
        <v>4.4770000000000003</v>
      </c>
      <c r="J157" s="673">
        <v>4.4770000000000003</v>
      </c>
      <c r="K157" s="676" t="s">
        <v>306</v>
      </c>
    </row>
    <row r="158" spans="1:11" ht="14.45" customHeight="1" thickBot="1" x14ac:dyDescent="0.25">
      <c r="A158" s="689" t="s">
        <v>456</v>
      </c>
      <c r="B158" s="667">
        <v>0</v>
      </c>
      <c r="C158" s="667">
        <v>4.5617000000000001</v>
      </c>
      <c r="D158" s="668">
        <v>4.5617000000000001</v>
      </c>
      <c r="E158" s="677" t="s">
        <v>350</v>
      </c>
      <c r="F158" s="667">
        <v>0</v>
      </c>
      <c r="G158" s="668">
        <v>0</v>
      </c>
      <c r="H158" s="670">
        <v>0</v>
      </c>
      <c r="I158" s="667">
        <v>4.4770000000000003</v>
      </c>
      <c r="J158" s="668">
        <v>4.4770000000000003</v>
      </c>
      <c r="K158" s="678" t="s">
        <v>306</v>
      </c>
    </row>
    <row r="159" spans="1:11" ht="14.45" customHeight="1" thickBot="1" x14ac:dyDescent="0.25">
      <c r="A159" s="688" t="s">
        <v>457</v>
      </c>
      <c r="B159" s="672">
        <v>0</v>
      </c>
      <c r="C159" s="672">
        <v>23.95786</v>
      </c>
      <c r="D159" s="673">
        <v>23.95786</v>
      </c>
      <c r="E159" s="674" t="s">
        <v>306</v>
      </c>
      <c r="F159" s="672">
        <v>0</v>
      </c>
      <c r="G159" s="673">
        <v>0</v>
      </c>
      <c r="H159" s="675">
        <v>0</v>
      </c>
      <c r="I159" s="672">
        <v>0</v>
      </c>
      <c r="J159" s="673">
        <v>0</v>
      </c>
      <c r="K159" s="676" t="s">
        <v>306</v>
      </c>
    </row>
    <row r="160" spans="1:11" ht="14.45" customHeight="1" thickBot="1" x14ac:dyDescent="0.25">
      <c r="A160" s="689" t="s">
        <v>458</v>
      </c>
      <c r="B160" s="667">
        <v>0</v>
      </c>
      <c r="C160" s="667">
        <v>23.95786</v>
      </c>
      <c r="D160" s="668">
        <v>23.95786</v>
      </c>
      <c r="E160" s="677" t="s">
        <v>306</v>
      </c>
      <c r="F160" s="667">
        <v>0</v>
      </c>
      <c r="G160" s="668">
        <v>0</v>
      </c>
      <c r="H160" s="670">
        <v>0</v>
      </c>
      <c r="I160" s="667">
        <v>0</v>
      </c>
      <c r="J160" s="668">
        <v>0</v>
      </c>
      <c r="K160" s="678" t="s">
        <v>306</v>
      </c>
    </row>
    <row r="161" spans="1:11" ht="14.45" customHeight="1" thickBot="1" x14ac:dyDescent="0.25">
      <c r="A161" s="688" t="s">
        <v>459</v>
      </c>
      <c r="B161" s="672">
        <v>0</v>
      </c>
      <c r="C161" s="672">
        <v>0</v>
      </c>
      <c r="D161" s="673">
        <v>0</v>
      </c>
      <c r="E161" s="674" t="s">
        <v>306</v>
      </c>
      <c r="F161" s="672">
        <v>0</v>
      </c>
      <c r="G161" s="673">
        <v>0</v>
      </c>
      <c r="H161" s="675">
        <v>0</v>
      </c>
      <c r="I161" s="672">
        <v>7.7439999999989997</v>
      </c>
      <c r="J161" s="673">
        <v>7.7439999999989997</v>
      </c>
      <c r="K161" s="676" t="s">
        <v>350</v>
      </c>
    </row>
    <row r="162" spans="1:11" ht="14.45" customHeight="1" thickBot="1" x14ac:dyDescent="0.25">
      <c r="A162" s="689" t="s">
        <v>460</v>
      </c>
      <c r="B162" s="667">
        <v>0</v>
      </c>
      <c r="C162" s="667">
        <v>0</v>
      </c>
      <c r="D162" s="668">
        <v>0</v>
      </c>
      <c r="E162" s="677" t="s">
        <v>306</v>
      </c>
      <c r="F162" s="667">
        <v>0</v>
      </c>
      <c r="G162" s="668">
        <v>0</v>
      </c>
      <c r="H162" s="670">
        <v>0</v>
      </c>
      <c r="I162" s="667">
        <v>7.7439999999989997</v>
      </c>
      <c r="J162" s="668">
        <v>7.7439999999989997</v>
      </c>
      <c r="K162" s="678" t="s">
        <v>350</v>
      </c>
    </row>
    <row r="163" spans="1:11" ht="14.45" customHeight="1" thickBot="1" x14ac:dyDescent="0.25">
      <c r="A163" s="685" t="s">
        <v>461</v>
      </c>
      <c r="B163" s="667">
        <v>60232.844120243899</v>
      </c>
      <c r="C163" s="667">
        <v>71805.293969999999</v>
      </c>
      <c r="D163" s="668">
        <v>11572.4498497561</v>
      </c>
      <c r="E163" s="669">
        <v>1.192128564054</v>
      </c>
      <c r="F163" s="667">
        <v>81784.609953356499</v>
      </c>
      <c r="G163" s="668">
        <v>81784.609953356499</v>
      </c>
      <c r="H163" s="670">
        <v>7920.0301099999997</v>
      </c>
      <c r="I163" s="667">
        <v>71136.535709999996</v>
      </c>
      <c r="J163" s="668">
        <v>-10648.074243356499</v>
      </c>
      <c r="K163" s="671">
        <v>0.86980344774600005</v>
      </c>
    </row>
    <row r="164" spans="1:11" ht="14.45" customHeight="1" thickBot="1" x14ac:dyDescent="0.25">
      <c r="A164" s="686" t="s">
        <v>462</v>
      </c>
      <c r="B164" s="667">
        <v>60214.172033388801</v>
      </c>
      <c r="C164" s="667">
        <v>71789.069829999993</v>
      </c>
      <c r="D164" s="668">
        <v>11574.8977966112</v>
      </c>
      <c r="E164" s="669">
        <v>1.1922287960739999</v>
      </c>
      <c r="F164" s="667">
        <v>81784.609953356499</v>
      </c>
      <c r="G164" s="668">
        <v>81784.609953356499</v>
      </c>
      <c r="H164" s="670">
        <v>7912.5301099999997</v>
      </c>
      <c r="I164" s="667">
        <v>71085.921799999996</v>
      </c>
      <c r="J164" s="668">
        <v>-10698.688153356499</v>
      </c>
      <c r="K164" s="671">
        <v>0.86918457935399995</v>
      </c>
    </row>
    <row r="165" spans="1:11" ht="14.45" customHeight="1" thickBot="1" x14ac:dyDescent="0.25">
      <c r="A165" s="687" t="s">
        <v>463</v>
      </c>
      <c r="B165" s="667">
        <v>60214.172033388801</v>
      </c>
      <c r="C165" s="667">
        <v>71789.069829999993</v>
      </c>
      <c r="D165" s="668">
        <v>11574.8977966112</v>
      </c>
      <c r="E165" s="669">
        <v>1.1922287960739999</v>
      </c>
      <c r="F165" s="667">
        <v>81784.609953356499</v>
      </c>
      <c r="G165" s="668">
        <v>81784.609953356499</v>
      </c>
      <c r="H165" s="670">
        <v>7912.5301099999997</v>
      </c>
      <c r="I165" s="667">
        <v>71085.921799999996</v>
      </c>
      <c r="J165" s="668">
        <v>-10698.688153356499</v>
      </c>
      <c r="K165" s="671">
        <v>0.86918457935399995</v>
      </c>
    </row>
    <row r="166" spans="1:11" ht="14.45" customHeight="1" thickBot="1" x14ac:dyDescent="0.25">
      <c r="A166" s="688" t="s">
        <v>464</v>
      </c>
      <c r="B166" s="672">
        <v>0.63895173707599995</v>
      </c>
      <c r="C166" s="672">
        <v>142.87826999999999</v>
      </c>
      <c r="D166" s="673">
        <v>142.23931826292301</v>
      </c>
      <c r="E166" s="679">
        <v>223.61355593722399</v>
      </c>
      <c r="F166" s="672">
        <v>97.663704518239001</v>
      </c>
      <c r="G166" s="673">
        <v>97.663704518239001</v>
      </c>
      <c r="H166" s="675">
        <v>315.72152</v>
      </c>
      <c r="I166" s="672">
        <v>479.66640999999998</v>
      </c>
      <c r="J166" s="673">
        <v>382.00270548176002</v>
      </c>
      <c r="K166" s="680">
        <v>4.9114091295850004</v>
      </c>
    </row>
    <row r="167" spans="1:11" ht="14.45" customHeight="1" thickBot="1" x14ac:dyDescent="0.25">
      <c r="A167" s="689" t="s">
        <v>465</v>
      </c>
      <c r="B167" s="667">
        <v>0.15219494975100001</v>
      </c>
      <c r="C167" s="667">
        <v>0.22644</v>
      </c>
      <c r="D167" s="668">
        <v>7.4245050248000002E-2</v>
      </c>
      <c r="E167" s="669">
        <v>1.4878286064670001</v>
      </c>
      <c r="F167" s="667">
        <v>0.225743226026</v>
      </c>
      <c r="G167" s="668">
        <v>0.225743226026</v>
      </c>
      <c r="H167" s="670">
        <v>0</v>
      </c>
      <c r="I167" s="667">
        <v>0</v>
      </c>
      <c r="J167" s="668">
        <v>-0.225743226026</v>
      </c>
      <c r="K167" s="671">
        <v>0</v>
      </c>
    </row>
    <row r="168" spans="1:11" ht="14.45" customHeight="1" thickBot="1" x14ac:dyDescent="0.25">
      <c r="A168" s="689" t="s">
        <v>466</v>
      </c>
      <c r="B168" s="667">
        <v>0</v>
      </c>
      <c r="C168" s="667">
        <v>0.44600000000000001</v>
      </c>
      <c r="D168" s="668">
        <v>0.44600000000000001</v>
      </c>
      <c r="E168" s="677" t="s">
        <v>350</v>
      </c>
      <c r="F168" s="667">
        <v>0.37324398681199999</v>
      </c>
      <c r="G168" s="668">
        <v>0.37324398681199999</v>
      </c>
      <c r="H168" s="670">
        <v>0</v>
      </c>
      <c r="I168" s="667">
        <v>0</v>
      </c>
      <c r="J168" s="668">
        <v>-0.37324398681199999</v>
      </c>
      <c r="K168" s="671">
        <v>0</v>
      </c>
    </row>
    <row r="169" spans="1:11" ht="14.45" customHeight="1" thickBot="1" x14ac:dyDescent="0.25">
      <c r="A169" s="689" t="s">
        <v>467</v>
      </c>
      <c r="B169" s="667">
        <v>0</v>
      </c>
      <c r="C169" s="667">
        <v>141.81163000000001</v>
      </c>
      <c r="D169" s="668">
        <v>141.81163000000001</v>
      </c>
      <c r="E169" s="677" t="s">
        <v>350</v>
      </c>
      <c r="F169" s="667">
        <v>96.689827166564001</v>
      </c>
      <c r="G169" s="668">
        <v>96.689827166564001</v>
      </c>
      <c r="H169" s="670">
        <v>315.72152</v>
      </c>
      <c r="I169" s="667">
        <v>479.14078000000001</v>
      </c>
      <c r="J169" s="668">
        <v>382.450952833435</v>
      </c>
      <c r="K169" s="671">
        <v>4.9554414775669997</v>
      </c>
    </row>
    <row r="170" spans="1:11" ht="14.45" customHeight="1" thickBot="1" x14ac:dyDescent="0.25">
      <c r="A170" s="689" t="s">
        <v>468</v>
      </c>
      <c r="B170" s="667">
        <v>0.486756787325</v>
      </c>
      <c r="C170" s="667">
        <v>0.39419999999999999</v>
      </c>
      <c r="D170" s="668">
        <v>-9.2556787325000001E-2</v>
      </c>
      <c r="E170" s="669">
        <v>0.80985003242800002</v>
      </c>
      <c r="F170" s="667">
        <v>0.37489013883599998</v>
      </c>
      <c r="G170" s="668">
        <v>0.37489013883599998</v>
      </c>
      <c r="H170" s="670">
        <v>0</v>
      </c>
      <c r="I170" s="667">
        <v>0.52563000000000004</v>
      </c>
      <c r="J170" s="668">
        <v>0.15073986116300001</v>
      </c>
      <c r="K170" s="671">
        <v>1.4020907608590001</v>
      </c>
    </row>
    <row r="171" spans="1:11" ht="14.45" customHeight="1" thickBot="1" x14ac:dyDescent="0.25">
      <c r="A171" s="688" t="s">
        <v>469</v>
      </c>
      <c r="B171" s="672">
        <v>426.73732728037101</v>
      </c>
      <c r="C171" s="672">
        <v>445.29054000000002</v>
      </c>
      <c r="D171" s="673">
        <v>18.553212719628998</v>
      </c>
      <c r="E171" s="679">
        <v>1.043476892068</v>
      </c>
      <c r="F171" s="672">
        <v>0</v>
      </c>
      <c r="G171" s="673">
        <v>0</v>
      </c>
      <c r="H171" s="675">
        <v>0</v>
      </c>
      <c r="I171" s="672">
        <v>0</v>
      </c>
      <c r="J171" s="673">
        <v>0</v>
      </c>
      <c r="K171" s="676" t="s">
        <v>306</v>
      </c>
    </row>
    <row r="172" spans="1:11" ht="14.45" customHeight="1" thickBot="1" x14ac:dyDescent="0.25">
      <c r="A172" s="689" t="s">
        <v>470</v>
      </c>
      <c r="B172" s="667">
        <v>426.73732728037101</v>
      </c>
      <c r="C172" s="667">
        <v>445.29054000000002</v>
      </c>
      <c r="D172" s="668">
        <v>18.553212719628998</v>
      </c>
      <c r="E172" s="669">
        <v>1.043476892068</v>
      </c>
      <c r="F172" s="667">
        <v>0</v>
      </c>
      <c r="G172" s="668">
        <v>0</v>
      </c>
      <c r="H172" s="670">
        <v>0</v>
      </c>
      <c r="I172" s="667">
        <v>0</v>
      </c>
      <c r="J172" s="668">
        <v>0</v>
      </c>
      <c r="K172" s="678" t="s">
        <v>306</v>
      </c>
    </row>
    <row r="173" spans="1:11" ht="14.45" customHeight="1" thickBot="1" x14ac:dyDescent="0.25">
      <c r="A173" s="691" t="s">
        <v>471</v>
      </c>
      <c r="B173" s="667">
        <v>54.328483049454</v>
      </c>
      <c r="C173" s="667">
        <v>895.96225000000004</v>
      </c>
      <c r="D173" s="668">
        <v>841.63376695054501</v>
      </c>
      <c r="E173" s="669">
        <v>16.491574947608999</v>
      </c>
      <c r="F173" s="667">
        <v>399.51019468304099</v>
      </c>
      <c r="G173" s="668">
        <v>399.51019468304099</v>
      </c>
      <c r="H173" s="670">
        <v>25.955480000000001</v>
      </c>
      <c r="I173" s="667">
        <v>593.79151999999897</v>
      </c>
      <c r="J173" s="668">
        <v>194.281325316958</v>
      </c>
      <c r="K173" s="671">
        <v>1.486298792628</v>
      </c>
    </row>
    <row r="174" spans="1:11" ht="14.45" customHeight="1" thickBot="1" x14ac:dyDescent="0.25">
      <c r="A174" s="689" t="s">
        <v>472</v>
      </c>
      <c r="B174" s="667">
        <v>0</v>
      </c>
      <c r="C174" s="667">
        <v>0</v>
      </c>
      <c r="D174" s="668">
        <v>0</v>
      </c>
      <c r="E174" s="669">
        <v>1</v>
      </c>
      <c r="F174" s="667">
        <v>247.46420893150801</v>
      </c>
      <c r="G174" s="668">
        <v>247.46420893150801</v>
      </c>
      <c r="H174" s="670">
        <v>0</v>
      </c>
      <c r="I174" s="667">
        <v>58.330089999998997</v>
      </c>
      <c r="J174" s="668">
        <v>-189.134118931508</v>
      </c>
      <c r="K174" s="671">
        <v>0.235711217601</v>
      </c>
    </row>
    <row r="175" spans="1:11" ht="14.45" customHeight="1" thickBot="1" x14ac:dyDescent="0.25">
      <c r="A175" s="689" t="s">
        <v>473</v>
      </c>
      <c r="B175" s="667">
        <v>0</v>
      </c>
      <c r="C175" s="667">
        <v>0</v>
      </c>
      <c r="D175" s="668">
        <v>0</v>
      </c>
      <c r="E175" s="669">
        <v>1</v>
      </c>
      <c r="F175" s="667">
        <v>152.04598575153301</v>
      </c>
      <c r="G175" s="668">
        <v>152.04598575153301</v>
      </c>
      <c r="H175" s="670">
        <v>25.955480000000001</v>
      </c>
      <c r="I175" s="667">
        <v>535.46142999999995</v>
      </c>
      <c r="J175" s="668">
        <v>383.41544424846597</v>
      </c>
      <c r="K175" s="671">
        <v>3.5217071161279998</v>
      </c>
    </row>
    <row r="176" spans="1:11" ht="14.45" customHeight="1" thickBot="1" x14ac:dyDescent="0.25">
      <c r="A176" s="689" t="s">
        <v>474</v>
      </c>
      <c r="B176" s="667">
        <v>0</v>
      </c>
      <c r="C176" s="667">
        <v>211.06197</v>
      </c>
      <c r="D176" s="668">
        <v>211.06197</v>
      </c>
      <c r="E176" s="677" t="s">
        <v>350</v>
      </c>
      <c r="F176" s="667">
        <v>0</v>
      </c>
      <c r="G176" s="668">
        <v>0</v>
      </c>
      <c r="H176" s="670">
        <v>0</v>
      </c>
      <c r="I176" s="667">
        <v>0</v>
      </c>
      <c r="J176" s="668">
        <v>0</v>
      </c>
      <c r="K176" s="678" t="s">
        <v>306</v>
      </c>
    </row>
    <row r="177" spans="1:11" ht="14.45" customHeight="1" thickBot="1" x14ac:dyDescent="0.25">
      <c r="A177" s="689" t="s">
        <v>475</v>
      </c>
      <c r="B177" s="667">
        <v>54.328483049454</v>
      </c>
      <c r="C177" s="667">
        <v>684.90027999999995</v>
      </c>
      <c r="D177" s="668">
        <v>630.57179695054504</v>
      </c>
      <c r="E177" s="669">
        <v>12.606652009343</v>
      </c>
      <c r="F177" s="667">
        <v>0</v>
      </c>
      <c r="G177" s="668">
        <v>0</v>
      </c>
      <c r="H177" s="670">
        <v>0</v>
      </c>
      <c r="I177" s="667">
        <v>0</v>
      </c>
      <c r="J177" s="668">
        <v>0</v>
      </c>
      <c r="K177" s="678" t="s">
        <v>306</v>
      </c>
    </row>
    <row r="178" spans="1:11" ht="14.45" customHeight="1" thickBot="1" x14ac:dyDescent="0.25">
      <c r="A178" s="688" t="s">
        <v>476</v>
      </c>
      <c r="B178" s="672">
        <v>59732.467271321897</v>
      </c>
      <c r="C178" s="672">
        <v>66749.514840000003</v>
      </c>
      <c r="D178" s="673">
        <v>7017.0475686781301</v>
      </c>
      <c r="E178" s="679">
        <v>1.1174745978059999</v>
      </c>
      <c r="F178" s="672">
        <v>81287.436054155201</v>
      </c>
      <c r="G178" s="673">
        <v>81287.436054155201</v>
      </c>
      <c r="H178" s="675">
        <v>7506.0280899999998</v>
      </c>
      <c r="I178" s="672">
        <v>66383.866750000001</v>
      </c>
      <c r="J178" s="673">
        <v>-14903.5693041552</v>
      </c>
      <c r="K178" s="680">
        <v>0.81665593076099996</v>
      </c>
    </row>
    <row r="179" spans="1:11" ht="14.45" customHeight="1" thickBot="1" x14ac:dyDescent="0.25">
      <c r="A179" s="689" t="s">
        <v>477</v>
      </c>
      <c r="B179" s="667">
        <v>26350.924889734699</v>
      </c>
      <c r="C179" s="667">
        <v>26366.25157</v>
      </c>
      <c r="D179" s="668">
        <v>15.326680265312</v>
      </c>
      <c r="E179" s="669">
        <v>1.000581637279</v>
      </c>
      <c r="F179" s="667">
        <v>0</v>
      </c>
      <c r="G179" s="668">
        <v>0</v>
      </c>
      <c r="H179" s="670">
        <v>0</v>
      </c>
      <c r="I179" s="667">
        <v>0</v>
      </c>
      <c r="J179" s="668">
        <v>0</v>
      </c>
      <c r="K179" s="678" t="s">
        <v>306</v>
      </c>
    </row>
    <row r="180" spans="1:11" ht="14.45" customHeight="1" thickBot="1" x14ac:dyDescent="0.25">
      <c r="A180" s="689" t="s">
        <v>478</v>
      </c>
      <c r="B180" s="667">
        <v>33381.542381587198</v>
      </c>
      <c r="C180" s="667">
        <v>40383.263270000003</v>
      </c>
      <c r="D180" s="668">
        <v>7001.7208884128204</v>
      </c>
      <c r="E180" s="669">
        <v>1.209748273712</v>
      </c>
      <c r="F180" s="667">
        <v>81287.436054155201</v>
      </c>
      <c r="G180" s="668">
        <v>81287.436054155201</v>
      </c>
      <c r="H180" s="670">
        <v>7506.0280899999998</v>
      </c>
      <c r="I180" s="667">
        <v>66383.866750000001</v>
      </c>
      <c r="J180" s="668">
        <v>-14903.5693041552</v>
      </c>
      <c r="K180" s="671">
        <v>0.81665593076099996</v>
      </c>
    </row>
    <row r="181" spans="1:11" ht="14.45" customHeight="1" thickBot="1" x14ac:dyDescent="0.25">
      <c r="A181" s="688" t="s">
        <v>479</v>
      </c>
      <c r="B181" s="672">
        <v>0</v>
      </c>
      <c r="C181" s="672">
        <v>3555.4239299999999</v>
      </c>
      <c r="D181" s="673">
        <v>3555.4239299999999</v>
      </c>
      <c r="E181" s="674" t="s">
        <v>306</v>
      </c>
      <c r="F181" s="672">
        <v>0</v>
      </c>
      <c r="G181" s="673">
        <v>0</v>
      </c>
      <c r="H181" s="675">
        <v>64.825019999999995</v>
      </c>
      <c r="I181" s="672">
        <v>3628.5971199999999</v>
      </c>
      <c r="J181" s="673">
        <v>3628.5971199999999</v>
      </c>
      <c r="K181" s="676" t="s">
        <v>306</v>
      </c>
    </row>
    <row r="182" spans="1:11" ht="14.45" customHeight="1" thickBot="1" x14ac:dyDescent="0.25">
      <c r="A182" s="689" t="s">
        <v>480</v>
      </c>
      <c r="B182" s="667">
        <v>0</v>
      </c>
      <c r="C182" s="667">
        <v>1227.7977100000001</v>
      </c>
      <c r="D182" s="668">
        <v>1227.7977100000001</v>
      </c>
      <c r="E182" s="677" t="s">
        <v>306</v>
      </c>
      <c r="F182" s="667">
        <v>0</v>
      </c>
      <c r="G182" s="668">
        <v>0</v>
      </c>
      <c r="H182" s="670">
        <v>0</v>
      </c>
      <c r="I182" s="667">
        <v>0</v>
      </c>
      <c r="J182" s="668">
        <v>0</v>
      </c>
      <c r="K182" s="678" t="s">
        <v>306</v>
      </c>
    </row>
    <row r="183" spans="1:11" ht="14.45" customHeight="1" thickBot="1" x14ac:dyDescent="0.25">
      <c r="A183" s="689" t="s">
        <v>481</v>
      </c>
      <c r="B183" s="667">
        <v>0</v>
      </c>
      <c r="C183" s="667">
        <v>2327.6262200000001</v>
      </c>
      <c r="D183" s="668">
        <v>2327.6262200000001</v>
      </c>
      <c r="E183" s="677" t="s">
        <v>306</v>
      </c>
      <c r="F183" s="667">
        <v>0</v>
      </c>
      <c r="G183" s="668">
        <v>0</v>
      </c>
      <c r="H183" s="670">
        <v>64.825019999999995</v>
      </c>
      <c r="I183" s="667">
        <v>3628.5971199999999</v>
      </c>
      <c r="J183" s="668">
        <v>3628.5971199999999</v>
      </c>
      <c r="K183" s="678" t="s">
        <v>306</v>
      </c>
    </row>
    <row r="184" spans="1:11" ht="14.45" customHeight="1" thickBot="1" x14ac:dyDescent="0.25">
      <c r="A184" s="686" t="s">
        <v>482</v>
      </c>
      <c r="B184" s="667">
        <v>0</v>
      </c>
      <c r="C184" s="667">
        <v>16.224139999999998</v>
      </c>
      <c r="D184" s="668">
        <v>16.224139999999998</v>
      </c>
      <c r="E184" s="677" t="s">
        <v>306</v>
      </c>
      <c r="F184" s="667">
        <v>0</v>
      </c>
      <c r="G184" s="668">
        <v>0</v>
      </c>
      <c r="H184" s="670">
        <v>7.5</v>
      </c>
      <c r="I184" s="667">
        <v>50.613909999999997</v>
      </c>
      <c r="J184" s="668">
        <v>50.613909999999997</v>
      </c>
      <c r="K184" s="678" t="s">
        <v>306</v>
      </c>
    </row>
    <row r="185" spans="1:11" ht="14.45" customHeight="1" thickBot="1" x14ac:dyDescent="0.25">
      <c r="A185" s="687" t="s">
        <v>483</v>
      </c>
      <c r="B185" s="667">
        <v>0</v>
      </c>
      <c r="C185" s="667">
        <v>16</v>
      </c>
      <c r="D185" s="668">
        <v>16</v>
      </c>
      <c r="E185" s="677" t="s">
        <v>306</v>
      </c>
      <c r="F185" s="667">
        <v>0</v>
      </c>
      <c r="G185" s="668">
        <v>0</v>
      </c>
      <c r="H185" s="670">
        <v>7.5</v>
      </c>
      <c r="I185" s="667">
        <v>50.5</v>
      </c>
      <c r="J185" s="668">
        <v>50.5</v>
      </c>
      <c r="K185" s="678" t="s">
        <v>306</v>
      </c>
    </row>
    <row r="186" spans="1:11" ht="14.45" customHeight="1" thickBot="1" x14ac:dyDescent="0.25">
      <c r="A186" s="688" t="s">
        <v>484</v>
      </c>
      <c r="B186" s="672">
        <v>0</v>
      </c>
      <c r="C186" s="672">
        <v>16</v>
      </c>
      <c r="D186" s="673">
        <v>16</v>
      </c>
      <c r="E186" s="674" t="s">
        <v>306</v>
      </c>
      <c r="F186" s="672">
        <v>0</v>
      </c>
      <c r="G186" s="673">
        <v>0</v>
      </c>
      <c r="H186" s="675">
        <v>7.5</v>
      </c>
      <c r="I186" s="672">
        <v>50.5</v>
      </c>
      <c r="J186" s="673">
        <v>50.5</v>
      </c>
      <c r="K186" s="676" t="s">
        <v>306</v>
      </c>
    </row>
    <row r="187" spans="1:11" ht="14.45" customHeight="1" thickBot="1" x14ac:dyDescent="0.25">
      <c r="A187" s="689" t="s">
        <v>485</v>
      </c>
      <c r="B187" s="667">
        <v>0</v>
      </c>
      <c r="C187" s="667">
        <v>16</v>
      </c>
      <c r="D187" s="668">
        <v>16</v>
      </c>
      <c r="E187" s="677" t="s">
        <v>306</v>
      </c>
      <c r="F187" s="667">
        <v>0</v>
      </c>
      <c r="G187" s="668">
        <v>0</v>
      </c>
      <c r="H187" s="670">
        <v>7.5</v>
      </c>
      <c r="I187" s="667">
        <v>50.5</v>
      </c>
      <c r="J187" s="668">
        <v>50.5</v>
      </c>
      <c r="K187" s="678" t="s">
        <v>306</v>
      </c>
    </row>
    <row r="188" spans="1:11" ht="14.45" customHeight="1" thickBot="1" x14ac:dyDescent="0.25">
      <c r="A188" s="692" t="s">
        <v>486</v>
      </c>
      <c r="B188" s="672">
        <v>0</v>
      </c>
      <c r="C188" s="672">
        <v>0.22414000000000001</v>
      </c>
      <c r="D188" s="673">
        <v>0.22414000000000001</v>
      </c>
      <c r="E188" s="674" t="s">
        <v>306</v>
      </c>
      <c r="F188" s="672">
        <v>0</v>
      </c>
      <c r="G188" s="673">
        <v>0</v>
      </c>
      <c r="H188" s="675">
        <v>0</v>
      </c>
      <c r="I188" s="672">
        <v>0.11391</v>
      </c>
      <c r="J188" s="673">
        <v>0.11391</v>
      </c>
      <c r="K188" s="676" t="s">
        <v>306</v>
      </c>
    </row>
    <row r="189" spans="1:11" ht="14.45" customHeight="1" thickBot="1" x14ac:dyDescent="0.25">
      <c r="A189" s="688" t="s">
        <v>487</v>
      </c>
      <c r="B189" s="672">
        <v>0</v>
      </c>
      <c r="C189" s="672">
        <v>9.3999999999999997E-4</v>
      </c>
      <c r="D189" s="673">
        <v>9.3999999999999997E-4</v>
      </c>
      <c r="E189" s="674" t="s">
        <v>306</v>
      </c>
      <c r="F189" s="672">
        <v>0</v>
      </c>
      <c r="G189" s="673">
        <v>0</v>
      </c>
      <c r="H189" s="675">
        <v>0</v>
      </c>
      <c r="I189" s="672">
        <v>8.0999999899999996E-4</v>
      </c>
      <c r="J189" s="673">
        <v>8.0999999899999996E-4</v>
      </c>
      <c r="K189" s="676" t="s">
        <v>306</v>
      </c>
    </row>
    <row r="190" spans="1:11" ht="14.45" customHeight="1" thickBot="1" x14ac:dyDescent="0.25">
      <c r="A190" s="689" t="s">
        <v>488</v>
      </c>
      <c r="B190" s="667">
        <v>0</v>
      </c>
      <c r="C190" s="667">
        <v>9.3999999999999997E-4</v>
      </c>
      <c r="D190" s="668">
        <v>9.3999999999999997E-4</v>
      </c>
      <c r="E190" s="677" t="s">
        <v>350</v>
      </c>
      <c r="F190" s="667">
        <v>0</v>
      </c>
      <c r="G190" s="668">
        <v>0</v>
      </c>
      <c r="H190" s="670">
        <v>0</v>
      </c>
      <c r="I190" s="667">
        <v>8.0999999899999996E-4</v>
      </c>
      <c r="J190" s="668">
        <v>8.0999999899999996E-4</v>
      </c>
      <c r="K190" s="678" t="s">
        <v>306</v>
      </c>
    </row>
    <row r="191" spans="1:11" ht="14.45" customHeight="1" thickBot="1" x14ac:dyDescent="0.25">
      <c r="A191" s="688" t="s">
        <v>489</v>
      </c>
      <c r="B191" s="672">
        <v>0</v>
      </c>
      <c r="C191" s="672">
        <v>0.22320000000000001</v>
      </c>
      <c r="D191" s="673">
        <v>0.22320000000000001</v>
      </c>
      <c r="E191" s="674" t="s">
        <v>350</v>
      </c>
      <c r="F191" s="672">
        <v>0</v>
      </c>
      <c r="G191" s="673">
        <v>0</v>
      </c>
      <c r="H191" s="675">
        <v>0</v>
      </c>
      <c r="I191" s="672">
        <v>0.11310000000000001</v>
      </c>
      <c r="J191" s="673">
        <v>0.11310000000000001</v>
      </c>
      <c r="K191" s="676" t="s">
        <v>306</v>
      </c>
    </row>
    <row r="192" spans="1:11" ht="14.45" customHeight="1" thickBot="1" x14ac:dyDescent="0.25">
      <c r="A192" s="689" t="s">
        <v>490</v>
      </c>
      <c r="B192" s="667">
        <v>0</v>
      </c>
      <c r="C192" s="667">
        <v>0.1232</v>
      </c>
      <c r="D192" s="668">
        <v>0.1232</v>
      </c>
      <c r="E192" s="677" t="s">
        <v>350</v>
      </c>
      <c r="F192" s="667">
        <v>0</v>
      </c>
      <c r="G192" s="668">
        <v>0</v>
      </c>
      <c r="H192" s="670">
        <v>0</v>
      </c>
      <c r="I192" s="667">
        <v>0.11310000000000001</v>
      </c>
      <c r="J192" s="668">
        <v>0.11310000000000001</v>
      </c>
      <c r="K192" s="678" t="s">
        <v>306</v>
      </c>
    </row>
    <row r="193" spans="1:11" ht="14.45" customHeight="1" thickBot="1" x14ac:dyDescent="0.25">
      <c r="A193" s="689" t="s">
        <v>491</v>
      </c>
      <c r="B193" s="667">
        <v>0</v>
      </c>
      <c r="C193" s="667">
        <v>0.1</v>
      </c>
      <c r="D193" s="668">
        <v>0.1</v>
      </c>
      <c r="E193" s="677" t="s">
        <v>350</v>
      </c>
      <c r="F193" s="667">
        <v>0</v>
      </c>
      <c r="G193" s="668">
        <v>0</v>
      </c>
      <c r="H193" s="670">
        <v>0</v>
      </c>
      <c r="I193" s="667">
        <v>0</v>
      </c>
      <c r="J193" s="668">
        <v>0</v>
      </c>
      <c r="K193" s="678" t="s">
        <v>306</v>
      </c>
    </row>
    <row r="194" spans="1:11" ht="14.45" customHeight="1" thickBot="1" x14ac:dyDescent="0.25">
      <c r="A194" s="686" t="s">
        <v>492</v>
      </c>
      <c r="B194" s="667">
        <v>18.672086855134999</v>
      </c>
      <c r="C194" s="667">
        <v>0</v>
      </c>
      <c r="D194" s="668">
        <v>-18.672086855134999</v>
      </c>
      <c r="E194" s="669">
        <v>0</v>
      </c>
      <c r="F194" s="667">
        <v>0</v>
      </c>
      <c r="G194" s="668">
        <v>0</v>
      </c>
      <c r="H194" s="670">
        <v>0</v>
      </c>
      <c r="I194" s="667">
        <v>0</v>
      </c>
      <c r="J194" s="668">
        <v>0</v>
      </c>
      <c r="K194" s="671">
        <v>12</v>
      </c>
    </row>
    <row r="195" spans="1:11" ht="14.45" customHeight="1" thickBot="1" x14ac:dyDescent="0.25">
      <c r="A195" s="692" t="s">
        <v>493</v>
      </c>
      <c r="B195" s="672">
        <v>18.672086855134999</v>
      </c>
      <c r="C195" s="672">
        <v>0</v>
      </c>
      <c r="D195" s="673">
        <v>-18.672086855134999</v>
      </c>
      <c r="E195" s="679">
        <v>0</v>
      </c>
      <c r="F195" s="672">
        <v>0</v>
      </c>
      <c r="G195" s="673">
        <v>0</v>
      </c>
      <c r="H195" s="675">
        <v>0</v>
      </c>
      <c r="I195" s="672">
        <v>0</v>
      </c>
      <c r="J195" s="673">
        <v>0</v>
      </c>
      <c r="K195" s="680">
        <v>12</v>
      </c>
    </row>
    <row r="196" spans="1:11" ht="14.45" customHeight="1" thickBot="1" x14ac:dyDescent="0.25">
      <c r="A196" s="688" t="s">
        <v>494</v>
      </c>
      <c r="B196" s="672">
        <v>18.672086855134999</v>
      </c>
      <c r="C196" s="672">
        <v>0</v>
      </c>
      <c r="D196" s="673">
        <v>-18.672086855134999</v>
      </c>
      <c r="E196" s="679">
        <v>0</v>
      </c>
      <c r="F196" s="672">
        <v>0</v>
      </c>
      <c r="G196" s="673">
        <v>0</v>
      </c>
      <c r="H196" s="675">
        <v>0</v>
      </c>
      <c r="I196" s="672">
        <v>0</v>
      </c>
      <c r="J196" s="673">
        <v>0</v>
      </c>
      <c r="K196" s="680">
        <v>12</v>
      </c>
    </row>
    <row r="197" spans="1:11" ht="14.45" customHeight="1" thickBot="1" x14ac:dyDescent="0.25">
      <c r="A197" s="689" t="s">
        <v>495</v>
      </c>
      <c r="B197" s="667">
        <v>18.672086855134999</v>
      </c>
      <c r="C197" s="667">
        <v>0</v>
      </c>
      <c r="D197" s="668">
        <v>-18.672086855134999</v>
      </c>
      <c r="E197" s="669">
        <v>0</v>
      </c>
      <c r="F197" s="667">
        <v>0</v>
      </c>
      <c r="G197" s="668">
        <v>0</v>
      </c>
      <c r="H197" s="670">
        <v>0</v>
      </c>
      <c r="I197" s="667">
        <v>0</v>
      </c>
      <c r="J197" s="668">
        <v>0</v>
      </c>
      <c r="K197" s="671">
        <v>12</v>
      </c>
    </row>
    <row r="198" spans="1:11" ht="14.45" customHeight="1" thickBot="1" x14ac:dyDescent="0.25">
      <c r="A198" s="685" t="s">
        <v>496</v>
      </c>
      <c r="B198" s="667">
        <v>6417.9265408253996</v>
      </c>
      <c r="C198" s="667">
        <v>9457.0926799999997</v>
      </c>
      <c r="D198" s="668">
        <v>3039.1661391746002</v>
      </c>
      <c r="E198" s="669">
        <v>1.473543304031</v>
      </c>
      <c r="F198" s="667">
        <v>7233.1526947207703</v>
      </c>
      <c r="G198" s="668">
        <v>7233.1526947207703</v>
      </c>
      <c r="H198" s="670">
        <v>794.04700000000105</v>
      </c>
      <c r="I198" s="667">
        <v>9567.2114600000004</v>
      </c>
      <c r="J198" s="668">
        <v>2334.0587652792401</v>
      </c>
      <c r="K198" s="671">
        <v>1.3226889938299999</v>
      </c>
    </row>
    <row r="199" spans="1:11" ht="14.45" customHeight="1" thickBot="1" x14ac:dyDescent="0.25">
      <c r="A199" s="690" t="s">
        <v>497</v>
      </c>
      <c r="B199" s="672">
        <v>6417.9265408253996</v>
      </c>
      <c r="C199" s="672">
        <v>9457.0926799999997</v>
      </c>
      <c r="D199" s="673">
        <v>3039.1661391746002</v>
      </c>
      <c r="E199" s="679">
        <v>1.473543304031</v>
      </c>
      <c r="F199" s="672">
        <v>7233.1526947207703</v>
      </c>
      <c r="G199" s="673">
        <v>7233.1526947207703</v>
      </c>
      <c r="H199" s="675">
        <v>794.04700000000105</v>
      </c>
      <c r="I199" s="672">
        <v>9567.2114600000004</v>
      </c>
      <c r="J199" s="673">
        <v>2334.0587652792401</v>
      </c>
      <c r="K199" s="680">
        <v>1.3226889938299999</v>
      </c>
    </row>
    <row r="200" spans="1:11" ht="14.45" customHeight="1" thickBot="1" x14ac:dyDescent="0.25">
      <c r="A200" s="692" t="s">
        <v>41</v>
      </c>
      <c r="B200" s="672">
        <v>6417.9265408253996</v>
      </c>
      <c r="C200" s="672">
        <v>9457.0926799999997</v>
      </c>
      <c r="D200" s="673">
        <v>3039.1661391746002</v>
      </c>
      <c r="E200" s="679">
        <v>1.473543304031</v>
      </c>
      <c r="F200" s="672">
        <v>7233.1526947207703</v>
      </c>
      <c r="G200" s="673">
        <v>7233.1526947207703</v>
      </c>
      <c r="H200" s="675">
        <v>794.04700000000105</v>
      </c>
      <c r="I200" s="672">
        <v>9567.2114600000004</v>
      </c>
      <c r="J200" s="673">
        <v>2334.0587652792401</v>
      </c>
      <c r="K200" s="680">
        <v>1.3226889938299999</v>
      </c>
    </row>
    <row r="201" spans="1:11" ht="14.45" customHeight="1" thickBot="1" x14ac:dyDescent="0.25">
      <c r="A201" s="691" t="s">
        <v>498</v>
      </c>
      <c r="B201" s="667">
        <v>0</v>
      </c>
      <c r="C201" s="667">
        <v>259.74491999999998</v>
      </c>
      <c r="D201" s="668">
        <v>259.74491999999998</v>
      </c>
      <c r="E201" s="677" t="s">
        <v>350</v>
      </c>
      <c r="F201" s="667">
        <v>373.601460207777</v>
      </c>
      <c r="G201" s="668">
        <v>373.601460207777</v>
      </c>
      <c r="H201" s="670">
        <v>14.217370000000001</v>
      </c>
      <c r="I201" s="667">
        <v>351.04906999999997</v>
      </c>
      <c r="J201" s="668">
        <v>-22.552390207777002</v>
      </c>
      <c r="K201" s="671">
        <v>0.93963516578499995</v>
      </c>
    </row>
    <row r="202" spans="1:11" ht="14.45" customHeight="1" thickBot="1" x14ac:dyDescent="0.25">
      <c r="A202" s="689" t="s">
        <v>499</v>
      </c>
      <c r="B202" s="667">
        <v>0</v>
      </c>
      <c r="C202" s="667">
        <v>259.74491999999998</v>
      </c>
      <c r="D202" s="668">
        <v>259.74491999999998</v>
      </c>
      <c r="E202" s="677" t="s">
        <v>350</v>
      </c>
      <c r="F202" s="667">
        <v>373.601460207777</v>
      </c>
      <c r="G202" s="668">
        <v>373.601460207777</v>
      </c>
      <c r="H202" s="670">
        <v>14.217370000000001</v>
      </c>
      <c r="I202" s="667">
        <v>351.04906999999997</v>
      </c>
      <c r="J202" s="668">
        <v>-22.552390207777002</v>
      </c>
      <c r="K202" s="671">
        <v>0.93963516578499995</v>
      </c>
    </row>
    <row r="203" spans="1:11" ht="14.45" customHeight="1" thickBot="1" x14ac:dyDescent="0.25">
      <c r="A203" s="688" t="s">
        <v>500</v>
      </c>
      <c r="B203" s="672">
        <v>54.031879972520997</v>
      </c>
      <c r="C203" s="672">
        <v>35.594999999999999</v>
      </c>
      <c r="D203" s="673">
        <v>-18.436879972521002</v>
      </c>
      <c r="E203" s="679">
        <v>0.65877774414099999</v>
      </c>
      <c r="F203" s="672">
        <v>51.002615085164003</v>
      </c>
      <c r="G203" s="673">
        <v>51.002615085164003</v>
      </c>
      <c r="H203" s="675">
        <v>0</v>
      </c>
      <c r="I203" s="672">
        <v>18.452999999999999</v>
      </c>
      <c r="J203" s="673">
        <v>-32.549615085164</v>
      </c>
      <c r="K203" s="680">
        <v>0.36180497743399997</v>
      </c>
    </row>
    <row r="204" spans="1:11" ht="14.45" customHeight="1" thickBot="1" x14ac:dyDescent="0.25">
      <c r="A204" s="689" t="s">
        <v>501</v>
      </c>
      <c r="B204" s="667">
        <v>54.031879972520997</v>
      </c>
      <c r="C204" s="667">
        <v>35.594999999999999</v>
      </c>
      <c r="D204" s="668">
        <v>-18.436879972521002</v>
      </c>
      <c r="E204" s="669">
        <v>0.65877774414099999</v>
      </c>
      <c r="F204" s="667">
        <v>51.002615085164003</v>
      </c>
      <c r="G204" s="668">
        <v>51.002615085164003</v>
      </c>
      <c r="H204" s="670">
        <v>0</v>
      </c>
      <c r="I204" s="667">
        <v>18.452999999999999</v>
      </c>
      <c r="J204" s="668">
        <v>-32.549615085164</v>
      </c>
      <c r="K204" s="671">
        <v>0.36180497743399997</v>
      </c>
    </row>
    <row r="205" spans="1:11" ht="14.45" customHeight="1" thickBot="1" x14ac:dyDescent="0.25">
      <c r="A205" s="688" t="s">
        <v>502</v>
      </c>
      <c r="B205" s="672">
        <v>189.15238642475501</v>
      </c>
      <c r="C205" s="672">
        <v>141.76258000000001</v>
      </c>
      <c r="D205" s="673">
        <v>-47.389806424755001</v>
      </c>
      <c r="E205" s="679">
        <v>0.74946228635800005</v>
      </c>
      <c r="F205" s="672">
        <v>194.28810856627399</v>
      </c>
      <c r="G205" s="673">
        <v>194.28810856627399</v>
      </c>
      <c r="H205" s="675">
        <v>9.4550599999999996</v>
      </c>
      <c r="I205" s="672">
        <v>139.17988</v>
      </c>
      <c r="J205" s="673">
        <v>-55.108228566274001</v>
      </c>
      <c r="K205" s="680">
        <v>0.71635820136899997</v>
      </c>
    </row>
    <row r="206" spans="1:11" ht="14.45" customHeight="1" thickBot="1" x14ac:dyDescent="0.25">
      <c r="A206" s="689" t="s">
        <v>503</v>
      </c>
      <c r="B206" s="667">
        <v>142.59617615218099</v>
      </c>
      <c r="C206" s="667">
        <v>122.1</v>
      </c>
      <c r="D206" s="668">
        <v>-20.496176152179999</v>
      </c>
      <c r="E206" s="669">
        <v>0.85626419511899998</v>
      </c>
      <c r="F206" s="667">
        <v>175.90133121408999</v>
      </c>
      <c r="G206" s="668">
        <v>175.90133121408999</v>
      </c>
      <c r="H206" s="670">
        <v>7.4</v>
      </c>
      <c r="I206" s="667">
        <v>122.47</v>
      </c>
      <c r="J206" s="668">
        <v>-53.431331214090001</v>
      </c>
      <c r="K206" s="671">
        <v>0.69624259893100005</v>
      </c>
    </row>
    <row r="207" spans="1:11" ht="14.45" customHeight="1" thickBot="1" x14ac:dyDescent="0.25">
      <c r="A207" s="689" t="s">
        <v>504</v>
      </c>
      <c r="B207" s="667">
        <v>24.923348205225</v>
      </c>
      <c r="C207" s="667">
        <v>3.0015999999999998</v>
      </c>
      <c r="D207" s="668">
        <v>-21.921748205225001</v>
      </c>
      <c r="E207" s="669">
        <v>0.120433257012</v>
      </c>
      <c r="F207" s="667">
        <v>0</v>
      </c>
      <c r="G207" s="668">
        <v>0</v>
      </c>
      <c r="H207" s="670">
        <v>0.10290000000000001</v>
      </c>
      <c r="I207" s="667">
        <v>0.98970000000000002</v>
      </c>
      <c r="J207" s="668">
        <v>0.98970000000000002</v>
      </c>
      <c r="K207" s="678" t="s">
        <v>350</v>
      </c>
    </row>
    <row r="208" spans="1:11" ht="14.45" customHeight="1" thickBot="1" x14ac:dyDescent="0.25">
      <c r="A208" s="689" t="s">
        <v>505</v>
      </c>
      <c r="B208" s="667">
        <v>21.632862067348999</v>
      </c>
      <c r="C208" s="667">
        <v>16.660979999999999</v>
      </c>
      <c r="D208" s="668">
        <v>-4.9718820673490001</v>
      </c>
      <c r="E208" s="669">
        <v>0.77016993628099994</v>
      </c>
      <c r="F208" s="667">
        <v>18.386777352183</v>
      </c>
      <c r="G208" s="668">
        <v>18.386777352183</v>
      </c>
      <c r="H208" s="670">
        <v>1.9521599999999999</v>
      </c>
      <c r="I208" s="667">
        <v>15.720179999999999</v>
      </c>
      <c r="J208" s="668">
        <v>-2.666597352183</v>
      </c>
      <c r="K208" s="671">
        <v>0.85497201053100003</v>
      </c>
    </row>
    <row r="209" spans="1:11" ht="14.45" customHeight="1" thickBot="1" x14ac:dyDescent="0.25">
      <c r="A209" s="691" t="s">
        <v>506</v>
      </c>
      <c r="B209" s="667">
        <v>0</v>
      </c>
      <c r="C209" s="667">
        <v>0</v>
      </c>
      <c r="D209" s="668">
        <v>0</v>
      </c>
      <c r="E209" s="669">
        <v>1</v>
      </c>
      <c r="F209" s="667">
        <v>0</v>
      </c>
      <c r="G209" s="668">
        <v>0</v>
      </c>
      <c r="H209" s="670">
        <v>4.80511</v>
      </c>
      <c r="I209" s="667">
        <v>27.82507</v>
      </c>
      <c r="J209" s="668">
        <v>27.82507</v>
      </c>
      <c r="K209" s="678" t="s">
        <v>350</v>
      </c>
    </row>
    <row r="210" spans="1:11" ht="14.45" customHeight="1" thickBot="1" x14ac:dyDescent="0.25">
      <c r="A210" s="689" t="s">
        <v>507</v>
      </c>
      <c r="B210" s="667">
        <v>0</v>
      </c>
      <c r="C210" s="667">
        <v>0</v>
      </c>
      <c r="D210" s="668">
        <v>0</v>
      </c>
      <c r="E210" s="669">
        <v>1</v>
      </c>
      <c r="F210" s="667">
        <v>0</v>
      </c>
      <c r="G210" s="668">
        <v>0</v>
      </c>
      <c r="H210" s="670">
        <v>4.80511</v>
      </c>
      <c r="I210" s="667">
        <v>27.82507</v>
      </c>
      <c r="J210" s="668">
        <v>27.82507</v>
      </c>
      <c r="K210" s="678" t="s">
        <v>350</v>
      </c>
    </row>
    <row r="211" spans="1:11" ht="14.45" customHeight="1" thickBot="1" x14ac:dyDescent="0.25">
      <c r="A211" s="688" t="s">
        <v>508</v>
      </c>
      <c r="B211" s="672">
        <v>784.362225852949</v>
      </c>
      <c r="C211" s="672">
        <v>938.89891999999998</v>
      </c>
      <c r="D211" s="673">
        <v>154.53669414705101</v>
      </c>
      <c r="E211" s="679">
        <v>1.197022101592</v>
      </c>
      <c r="F211" s="672">
        <v>875.15043665733697</v>
      </c>
      <c r="G211" s="673">
        <v>875.15043665733697</v>
      </c>
      <c r="H211" s="675">
        <v>0</v>
      </c>
      <c r="I211" s="672">
        <v>223.33413999999999</v>
      </c>
      <c r="J211" s="673">
        <v>-651.81629665733703</v>
      </c>
      <c r="K211" s="680">
        <v>0.255195142052</v>
      </c>
    </row>
    <row r="212" spans="1:11" ht="14.45" customHeight="1" thickBot="1" x14ac:dyDescent="0.25">
      <c r="A212" s="689" t="s">
        <v>509</v>
      </c>
      <c r="B212" s="667">
        <v>784.362225852949</v>
      </c>
      <c r="C212" s="667">
        <v>938.89891999999998</v>
      </c>
      <c r="D212" s="668">
        <v>154.53669414705101</v>
      </c>
      <c r="E212" s="669">
        <v>1.197022101592</v>
      </c>
      <c r="F212" s="667">
        <v>875.15043665733697</v>
      </c>
      <c r="G212" s="668">
        <v>875.15043665733697</v>
      </c>
      <c r="H212" s="670">
        <v>0</v>
      </c>
      <c r="I212" s="667">
        <v>223.33413999999999</v>
      </c>
      <c r="J212" s="668">
        <v>-651.81629665733703</v>
      </c>
      <c r="K212" s="671">
        <v>0.255195142052</v>
      </c>
    </row>
    <row r="213" spans="1:11" ht="14.45" customHeight="1" thickBot="1" x14ac:dyDescent="0.25">
      <c r="A213" s="688" t="s">
        <v>510</v>
      </c>
      <c r="B213" s="672">
        <v>0</v>
      </c>
      <c r="C213" s="672">
        <v>1.238</v>
      </c>
      <c r="D213" s="673">
        <v>1.238</v>
      </c>
      <c r="E213" s="674" t="s">
        <v>350</v>
      </c>
      <c r="F213" s="672">
        <v>0</v>
      </c>
      <c r="G213" s="673">
        <v>0</v>
      </c>
      <c r="H213" s="675">
        <v>0.112</v>
      </c>
      <c r="I213" s="672">
        <v>1.339</v>
      </c>
      <c r="J213" s="673">
        <v>1.339</v>
      </c>
      <c r="K213" s="676" t="s">
        <v>350</v>
      </c>
    </row>
    <row r="214" spans="1:11" ht="14.45" customHeight="1" thickBot="1" x14ac:dyDescent="0.25">
      <c r="A214" s="689" t="s">
        <v>511</v>
      </c>
      <c r="B214" s="667">
        <v>0</v>
      </c>
      <c r="C214" s="667">
        <v>1.238</v>
      </c>
      <c r="D214" s="668">
        <v>1.238</v>
      </c>
      <c r="E214" s="677" t="s">
        <v>350</v>
      </c>
      <c r="F214" s="667">
        <v>0</v>
      </c>
      <c r="G214" s="668">
        <v>0</v>
      </c>
      <c r="H214" s="670">
        <v>0.112</v>
      </c>
      <c r="I214" s="667">
        <v>1.339</v>
      </c>
      <c r="J214" s="668">
        <v>1.339</v>
      </c>
      <c r="K214" s="678" t="s">
        <v>350</v>
      </c>
    </row>
    <row r="215" spans="1:11" ht="14.45" customHeight="1" thickBot="1" x14ac:dyDescent="0.25">
      <c r="A215" s="688" t="s">
        <v>512</v>
      </c>
      <c r="B215" s="672">
        <v>410.03691120168298</v>
      </c>
      <c r="C215" s="672">
        <v>343.42693000000003</v>
      </c>
      <c r="D215" s="673">
        <v>-66.609981201682999</v>
      </c>
      <c r="E215" s="679">
        <v>0.83755125604000003</v>
      </c>
      <c r="F215" s="672">
        <v>461.119419493674</v>
      </c>
      <c r="G215" s="673">
        <v>461.119419493674</v>
      </c>
      <c r="H215" s="675">
        <v>25.93271</v>
      </c>
      <c r="I215" s="672">
        <v>363.96343000000002</v>
      </c>
      <c r="J215" s="673">
        <v>-97.155989493673005</v>
      </c>
      <c r="K215" s="680">
        <v>0.78930406010499998</v>
      </c>
    </row>
    <row r="216" spans="1:11" ht="14.45" customHeight="1" thickBot="1" x14ac:dyDescent="0.25">
      <c r="A216" s="689" t="s">
        <v>513</v>
      </c>
      <c r="B216" s="667">
        <v>410.03691120168298</v>
      </c>
      <c r="C216" s="667">
        <v>343.42693000000003</v>
      </c>
      <c r="D216" s="668">
        <v>-66.609981201682999</v>
      </c>
      <c r="E216" s="669">
        <v>0.83755125604000003</v>
      </c>
      <c r="F216" s="667">
        <v>461.119419493674</v>
      </c>
      <c r="G216" s="668">
        <v>461.119419493674</v>
      </c>
      <c r="H216" s="670">
        <v>25.93271</v>
      </c>
      <c r="I216" s="667">
        <v>363.96343000000002</v>
      </c>
      <c r="J216" s="668">
        <v>-97.155989493673005</v>
      </c>
      <c r="K216" s="671">
        <v>0.78930406010499998</v>
      </c>
    </row>
    <row r="217" spans="1:11" ht="14.45" customHeight="1" thickBot="1" x14ac:dyDescent="0.25">
      <c r="A217" s="688" t="s">
        <v>514</v>
      </c>
      <c r="B217" s="672">
        <v>0</v>
      </c>
      <c r="C217" s="672">
        <v>2115.90355</v>
      </c>
      <c r="D217" s="673">
        <v>2115.90355</v>
      </c>
      <c r="E217" s="674" t="s">
        <v>350</v>
      </c>
      <c r="F217" s="672">
        <v>0</v>
      </c>
      <c r="G217" s="673">
        <v>0</v>
      </c>
      <c r="H217" s="675">
        <v>256.20305000000002</v>
      </c>
      <c r="I217" s="672">
        <v>2183.4718200000002</v>
      </c>
      <c r="J217" s="673">
        <v>2183.4718200000002</v>
      </c>
      <c r="K217" s="676" t="s">
        <v>350</v>
      </c>
    </row>
    <row r="218" spans="1:11" ht="14.45" customHeight="1" thickBot="1" x14ac:dyDescent="0.25">
      <c r="A218" s="689" t="s">
        <v>515</v>
      </c>
      <c r="B218" s="667">
        <v>0</v>
      </c>
      <c r="C218" s="667">
        <v>2115.90355</v>
      </c>
      <c r="D218" s="668">
        <v>2115.90355</v>
      </c>
      <c r="E218" s="677" t="s">
        <v>350</v>
      </c>
      <c r="F218" s="667">
        <v>0</v>
      </c>
      <c r="G218" s="668">
        <v>0</v>
      </c>
      <c r="H218" s="670">
        <v>256.20305000000002</v>
      </c>
      <c r="I218" s="667">
        <v>2183.4718200000002</v>
      </c>
      <c r="J218" s="668">
        <v>2183.4718200000002</v>
      </c>
      <c r="K218" s="678" t="s">
        <v>350</v>
      </c>
    </row>
    <row r="219" spans="1:11" ht="14.45" customHeight="1" thickBot="1" x14ac:dyDescent="0.25">
      <c r="A219" s="688" t="s">
        <v>516</v>
      </c>
      <c r="B219" s="672">
        <v>4980.3431373734902</v>
      </c>
      <c r="C219" s="672">
        <v>5620.5227800000002</v>
      </c>
      <c r="D219" s="673">
        <v>640.17964262650503</v>
      </c>
      <c r="E219" s="679">
        <v>1.128541272151</v>
      </c>
      <c r="F219" s="672">
        <v>5277.9906547105402</v>
      </c>
      <c r="G219" s="673">
        <v>5277.9906547105402</v>
      </c>
      <c r="H219" s="675">
        <v>483.32170000000099</v>
      </c>
      <c r="I219" s="672">
        <v>6258.5960500000001</v>
      </c>
      <c r="J219" s="673">
        <v>980.60539528946197</v>
      </c>
      <c r="K219" s="680">
        <v>1.185791423183</v>
      </c>
    </row>
    <row r="220" spans="1:11" ht="14.45" customHeight="1" thickBot="1" x14ac:dyDescent="0.25">
      <c r="A220" s="689" t="s">
        <v>517</v>
      </c>
      <c r="B220" s="667">
        <v>4980.3431373734902</v>
      </c>
      <c r="C220" s="667">
        <v>5620.5227800000002</v>
      </c>
      <c r="D220" s="668">
        <v>640.17964262650503</v>
      </c>
      <c r="E220" s="669">
        <v>1.128541272151</v>
      </c>
      <c r="F220" s="667">
        <v>5277.9906547105402</v>
      </c>
      <c r="G220" s="668">
        <v>5277.9906547105402</v>
      </c>
      <c r="H220" s="670">
        <v>483.32170000000099</v>
      </c>
      <c r="I220" s="667">
        <v>6258.5960500000001</v>
      </c>
      <c r="J220" s="668">
        <v>980.60539528946197</v>
      </c>
      <c r="K220" s="671">
        <v>1.185791423183</v>
      </c>
    </row>
    <row r="221" spans="1:11" ht="14.45" customHeight="1" thickBot="1" x14ac:dyDescent="0.25">
      <c r="A221" s="693"/>
      <c r="B221" s="667">
        <v>-19537.441041407099</v>
      </c>
      <c r="C221" s="667">
        <v>-16651.383340000099</v>
      </c>
      <c r="D221" s="668">
        <v>2886.0577014069099</v>
      </c>
      <c r="E221" s="669">
        <v>0.85228066995600005</v>
      </c>
      <c r="F221" s="667">
        <v>-8300.4268910489009</v>
      </c>
      <c r="G221" s="668">
        <v>-8300.4268910489009</v>
      </c>
      <c r="H221" s="670">
        <v>-635.31097999999304</v>
      </c>
      <c r="I221" s="667">
        <v>-25992.807449999898</v>
      </c>
      <c r="J221" s="668">
        <v>-17692.380558951001</v>
      </c>
      <c r="K221" s="671">
        <v>3.1315024867010002</v>
      </c>
    </row>
    <row r="222" spans="1:11" ht="14.45" customHeight="1" thickBot="1" x14ac:dyDescent="0.25">
      <c r="A222" s="694" t="s">
        <v>53</v>
      </c>
      <c r="B222" s="681">
        <v>-19537.441041407099</v>
      </c>
      <c r="C222" s="681">
        <v>-16651.383340000099</v>
      </c>
      <c r="D222" s="682">
        <v>2886.0577014069199</v>
      </c>
      <c r="E222" s="683">
        <v>-1.3584023940250001</v>
      </c>
      <c r="F222" s="681">
        <v>-8300.4268910489009</v>
      </c>
      <c r="G222" s="682">
        <v>-8300.4268910489009</v>
      </c>
      <c r="H222" s="681">
        <v>-635.31097999999304</v>
      </c>
      <c r="I222" s="681">
        <v>-25992.80745</v>
      </c>
      <c r="J222" s="682">
        <v>-17692.380558951099</v>
      </c>
      <c r="K222" s="684">
        <v>3.1315024867010002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85C85EFA-D5D0-4E21-83CB-1E9A0A2EFC6F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14" customWidth="1"/>
    <col min="2" max="2" width="61.140625" style="314" customWidth="1"/>
    <col min="3" max="3" width="9.5703125" style="233" hidden="1" customWidth="1" outlineLevel="1"/>
    <col min="4" max="4" width="9.5703125" style="315" customWidth="1" collapsed="1"/>
    <col min="5" max="5" width="2.28515625" style="315" customWidth="1"/>
    <col min="6" max="6" width="9.5703125" style="316" customWidth="1"/>
    <col min="7" max="7" width="9.5703125" style="313" customWidth="1"/>
    <col min="8" max="9" width="9.5703125" style="233" customWidth="1"/>
    <col min="10" max="10" width="0" style="233" hidden="1" customWidth="1"/>
    <col min="11" max="16384" width="8.85546875" style="233"/>
  </cols>
  <sheetData>
    <row r="1" spans="1:10" ht="18.600000000000001" customHeight="1" thickBot="1" x14ac:dyDescent="0.35">
      <c r="A1" s="522" t="s">
        <v>160</v>
      </c>
      <c r="B1" s="523"/>
      <c r="C1" s="523"/>
      <c r="D1" s="523"/>
      <c r="E1" s="523"/>
      <c r="F1" s="523"/>
      <c r="G1" s="493"/>
      <c r="H1" s="524"/>
      <c r="I1" s="524"/>
    </row>
    <row r="2" spans="1:10" ht="14.45" customHeight="1" thickBot="1" x14ac:dyDescent="0.25">
      <c r="A2" s="666" t="s">
        <v>305</v>
      </c>
      <c r="B2" s="312"/>
      <c r="C2" s="312"/>
      <c r="D2" s="312"/>
      <c r="E2" s="312"/>
      <c r="F2" s="312"/>
    </row>
    <row r="3" spans="1:10" ht="14.45" customHeight="1" thickBot="1" x14ac:dyDescent="0.25">
      <c r="A3" s="351"/>
      <c r="B3" s="417"/>
      <c r="C3" s="416">
        <v>2015</v>
      </c>
      <c r="D3" s="358">
        <v>2018</v>
      </c>
      <c r="E3" s="11"/>
      <c r="F3" s="501">
        <v>2019</v>
      </c>
      <c r="G3" s="519"/>
      <c r="H3" s="519"/>
      <c r="I3" s="502"/>
    </row>
    <row r="4" spans="1:10" ht="14.45" customHeight="1" thickBot="1" x14ac:dyDescent="0.25">
      <c r="A4" s="362" t="s">
        <v>0</v>
      </c>
      <c r="B4" s="363" t="s">
        <v>216</v>
      </c>
      <c r="C4" s="520" t="s">
        <v>80</v>
      </c>
      <c r="D4" s="521"/>
      <c r="E4" s="364"/>
      <c r="F4" s="359" t="s">
        <v>80</v>
      </c>
      <c r="G4" s="360" t="s">
        <v>81</v>
      </c>
      <c r="H4" s="360" t="s">
        <v>55</v>
      </c>
      <c r="I4" s="361" t="s">
        <v>82</v>
      </c>
    </row>
    <row r="5" spans="1:10" ht="14.45" customHeight="1" x14ac:dyDescent="0.2">
      <c r="A5" s="695" t="s">
        <v>518</v>
      </c>
      <c r="B5" s="696" t="s">
        <v>519</v>
      </c>
      <c r="C5" s="697" t="s">
        <v>520</v>
      </c>
      <c r="D5" s="697" t="s">
        <v>520</v>
      </c>
      <c r="E5" s="697"/>
      <c r="F5" s="697" t="s">
        <v>520</v>
      </c>
      <c r="G5" s="697" t="s">
        <v>520</v>
      </c>
      <c r="H5" s="697" t="s">
        <v>520</v>
      </c>
      <c r="I5" s="698" t="s">
        <v>520</v>
      </c>
      <c r="J5" s="699" t="s">
        <v>60</v>
      </c>
    </row>
    <row r="6" spans="1:10" ht="14.45" customHeight="1" x14ac:dyDescent="0.2">
      <c r="A6" s="695" t="s">
        <v>518</v>
      </c>
      <c r="B6" s="696" t="s">
        <v>521</v>
      </c>
      <c r="C6" s="697">
        <v>4339.4065500000015</v>
      </c>
      <c r="D6" s="697">
        <v>4853.2888300000013</v>
      </c>
      <c r="E6" s="697"/>
      <c r="F6" s="697">
        <v>4568.971590000001</v>
      </c>
      <c r="G6" s="697">
        <v>4500</v>
      </c>
      <c r="H6" s="697">
        <v>68.971590000001015</v>
      </c>
      <c r="I6" s="698">
        <v>1.0153270200000002</v>
      </c>
      <c r="J6" s="699" t="s">
        <v>1</v>
      </c>
    </row>
    <row r="7" spans="1:10" ht="14.45" customHeight="1" x14ac:dyDescent="0.2">
      <c r="A7" s="695" t="s">
        <v>518</v>
      </c>
      <c r="B7" s="696" t="s">
        <v>522</v>
      </c>
      <c r="C7" s="697">
        <v>1814.7946399999998</v>
      </c>
      <c r="D7" s="697">
        <v>2177.9508500000002</v>
      </c>
      <c r="E7" s="697"/>
      <c r="F7" s="697">
        <v>2255.0959500000004</v>
      </c>
      <c r="G7" s="697">
        <v>2070</v>
      </c>
      <c r="H7" s="697">
        <v>185.09595000000036</v>
      </c>
      <c r="I7" s="698">
        <v>1.0894183333333336</v>
      </c>
      <c r="J7" s="699" t="s">
        <v>1</v>
      </c>
    </row>
    <row r="8" spans="1:10" ht="14.45" customHeight="1" x14ac:dyDescent="0.2">
      <c r="A8" s="695" t="s">
        <v>518</v>
      </c>
      <c r="B8" s="696" t="s">
        <v>523</v>
      </c>
      <c r="C8" s="697">
        <v>258.12397000000004</v>
      </c>
      <c r="D8" s="697">
        <v>161.52025</v>
      </c>
      <c r="E8" s="697"/>
      <c r="F8" s="697">
        <v>225.89003</v>
      </c>
      <c r="G8" s="697">
        <v>150</v>
      </c>
      <c r="H8" s="697">
        <v>75.890029999999996</v>
      </c>
      <c r="I8" s="698">
        <v>1.5059335333333332</v>
      </c>
      <c r="J8" s="699" t="s">
        <v>1</v>
      </c>
    </row>
    <row r="9" spans="1:10" ht="14.45" customHeight="1" x14ac:dyDescent="0.2">
      <c r="A9" s="695" t="s">
        <v>518</v>
      </c>
      <c r="B9" s="696" t="s">
        <v>524</v>
      </c>
      <c r="C9" s="697">
        <v>1498.7141500000018</v>
      </c>
      <c r="D9" s="697">
        <v>1442.8764000000003</v>
      </c>
      <c r="E9" s="697"/>
      <c r="F9" s="697">
        <v>1259.3805200000006</v>
      </c>
      <c r="G9" s="697">
        <v>1490</v>
      </c>
      <c r="H9" s="697">
        <v>-230.61947999999938</v>
      </c>
      <c r="I9" s="698">
        <v>0.84522182550335612</v>
      </c>
      <c r="J9" s="699" t="s">
        <v>1</v>
      </c>
    </row>
    <row r="10" spans="1:10" ht="14.45" customHeight="1" x14ac:dyDescent="0.2">
      <c r="A10" s="695" t="s">
        <v>518</v>
      </c>
      <c r="B10" s="696" t="s">
        <v>525</v>
      </c>
      <c r="C10" s="697">
        <v>458.32360000000017</v>
      </c>
      <c r="D10" s="697">
        <v>26.18638</v>
      </c>
      <c r="E10" s="697"/>
      <c r="F10" s="697">
        <v>273.08759999999995</v>
      </c>
      <c r="G10" s="697">
        <v>49.998976562499998</v>
      </c>
      <c r="H10" s="697">
        <v>223.08862343749996</v>
      </c>
      <c r="I10" s="698">
        <v>5.4618637975246047</v>
      </c>
      <c r="J10" s="699" t="s">
        <v>1</v>
      </c>
    </row>
    <row r="11" spans="1:10" ht="14.45" customHeight="1" x14ac:dyDescent="0.2">
      <c r="A11" s="695" t="s">
        <v>518</v>
      </c>
      <c r="B11" s="696" t="s">
        <v>526</v>
      </c>
      <c r="C11" s="697">
        <v>1809.7616400000002</v>
      </c>
      <c r="D11" s="697">
        <v>1762.2655199999995</v>
      </c>
      <c r="E11" s="697"/>
      <c r="F11" s="697">
        <v>991.84510999999895</v>
      </c>
      <c r="G11" s="697">
        <v>1460</v>
      </c>
      <c r="H11" s="697">
        <v>-468.15489000000105</v>
      </c>
      <c r="I11" s="698">
        <v>0.67934596575342399</v>
      </c>
      <c r="J11" s="699" t="s">
        <v>1</v>
      </c>
    </row>
    <row r="12" spans="1:10" ht="14.45" customHeight="1" x14ac:dyDescent="0.2">
      <c r="A12" s="695" t="s">
        <v>518</v>
      </c>
      <c r="B12" s="696" t="s">
        <v>527</v>
      </c>
      <c r="C12" s="697">
        <v>533.79880999999989</v>
      </c>
      <c r="D12" s="697">
        <v>401.10639999999972</v>
      </c>
      <c r="E12" s="697"/>
      <c r="F12" s="697">
        <v>300.80041999999992</v>
      </c>
      <c r="G12" s="697">
        <v>380</v>
      </c>
      <c r="H12" s="697">
        <v>-79.199580000000083</v>
      </c>
      <c r="I12" s="698">
        <v>0.79158005263157871</v>
      </c>
      <c r="J12" s="699" t="s">
        <v>1</v>
      </c>
    </row>
    <row r="13" spans="1:10" ht="14.45" customHeight="1" x14ac:dyDescent="0.2">
      <c r="A13" s="695" t="s">
        <v>518</v>
      </c>
      <c r="B13" s="696" t="s">
        <v>528</v>
      </c>
      <c r="C13" s="697">
        <v>129.09759999999997</v>
      </c>
      <c r="D13" s="697">
        <v>142.46489000000003</v>
      </c>
      <c r="E13" s="697"/>
      <c r="F13" s="697">
        <v>150.71853999999999</v>
      </c>
      <c r="G13" s="697">
        <v>150</v>
      </c>
      <c r="H13" s="697">
        <v>0.71853999999999019</v>
      </c>
      <c r="I13" s="698">
        <v>1.0047902666666666</v>
      </c>
      <c r="J13" s="699" t="s">
        <v>1</v>
      </c>
    </row>
    <row r="14" spans="1:10" ht="14.45" customHeight="1" x14ac:dyDescent="0.2">
      <c r="A14" s="695" t="s">
        <v>518</v>
      </c>
      <c r="B14" s="696" t="s">
        <v>529</v>
      </c>
      <c r="C14" s="697">
        <v>10842.020960000003</v>
      </c>
      <c r="D14" s="697">
        <v>10967.659519999999</v>
      </c>
      <c r="E14" s="697"/>
      <c r="F14" s="697">
        <v>10025.78976</v>
      </c>
      <c r="G14" s="697">
        <v>10249.9989765625</v>
      </c>
      <c r="H14" s="697">
        <v>-224.20921656249993</v>
      </c>
      <c r="I14" s="698">
        <v>0.97812592790739072</v>
      </c>
      <c r="J14" s="699" t="s">
        <v>530</v>
      </c>
    </row>
    <row r="16" spans="1:10" ht="14.45" customHeight="1" x14ac:dyDescent="0.2">
      <c r="A16" s="695" t="s">
        <v>518</v>
      </c>
      <c r="B16" s="696" t="s">
        <v>519</v>
      </c>
      <c r="C16" s="697" t="s">
        <v>520</v>
      </c>
      <c r="D16" s="697" t="s">
        <v>520</v>
      </c>
      <c r="E16" s="697"/>
      <c r="F16" s="697" t="s">
        <v>520</v>
      </c>
      <c r="G16" s="697" t="s">
        <v>520</v>
      </c>
      <c r="H16" s="697" t="s">
        <v>520</v>
      </c>
      <c r="I16" s="698" t="s">
        <v>520</v>
      </c>
      <c r="J16" s="699" t="s">
        <v>60</v>
      </c>
    </row>
    <row r="17" spans="1:10" ht="14.45" customHeight="1" x14ac:dyDescent="0.2">
      <c r="A17" s="695" t="s">
        <v>531</v>
      </c>
      <c r="B17" s="696" t="s">
        <v>532</v>
      </c>
      <c r="C17" s="697" t="s">
        <v>520</v>
      </c>
      <c r="D17" s="697" t="s">
        <v>520</v>
      </c>
      <c r="E17" s="697"/>
      <c r="F17" s="697" t="s">
        <v>520</v>
      </c>
      <c r="G17" s="697" t="s">
        <v>520</v>
      </c>
      <c r="H17" s="697" t="s">
        <v>520</v>
      </c>
      <c r="I17" s="698" t="s">
        <v>520</v>
      </c>
      <c r="J17" s="699" t="s">
        <v>0</v>
      </c>
    </row>
    <row r="18" spans="1:10" ht="14.45" customHeight="1" x14ac:dyDescent="0.2">
      <c r="A18" s="695" t="s">
        <v>531</v>
      </c>
      <c r="B18" s="696" t="s">
        <v>521</v>
      </c>
      <c r="C18" s="697">
        <v>4339.4065500000015</v>
      </c>
      <c r="D18" s="697">
        <v>4853.2888300000013</v>
      </c>
      <c r="E18" s="697"/>
      <c r="F18" s="697">
        <v>4568.971590000001</v>
      </c>
      <c r="G18" s="697">
        <v>4500</v>
      </c>
      <c r="H18" s="697">
        <v>68.971590000001015</v>
      </c>
      <c r="I18" s="698">
        <v>1.0153270200000002</v>
      </c>
      <c r="J18" s="699" t="s">
        <v>1</v>
      </c>
    </row>
    <row r="19" spans="1:10" ht="14.45" customHeight="1" x14ac:dyDescent="0.2">
      <c r="A19" s="695" t="s">
        <v>531</v>
      </c>
      <c r="B19" s="696" t="s">
        <v>522</v>
      </c>
      <c r="C19" s="697">
        <v>1814.7946399999998</v>
      </c>
      <c r="D19" s="697">
        <v>2177.9508500000002</v>
      </c>
      <c r="E19" s="697"/>
      <c r="F19" s="697">
        <v>2255.0959500000004</v>
      </c>
      <c r="G19" s="697">
        <v>2070</v>
      </c>
      <c r="H19" s="697">
        <v>185.09595000000036</v>
      </c>
      <c r="I19" s="698">
        <v>1.0894183333333336</v>
      </c>
      <c r="J19" s="699" t="s">
        <v>1</v>
      </c>
    </row>
    <row r="20" spans="1:10" ht="14.45" customHeight="1" x14ac:dyDescent="0.2">
      <c r="A20" s="695" t="s">
        <v>531</v>
      </c>
      <c r="B20" s="696" t="s">
        <v>523</v>
      </c>
      <c r="C20" s="697">
        <v>258.12397000000004</v>
      </c>
      <c r="D20" s="697">
        <v>161.52025</v>
      </c>
      <c r="E20" s="697"/>
      <c r="F20" s="697">
        <v>225.89003</v>
      </c>
      <c r="G20" s="697">
        <v>150</v>
      </c>
      <c r="H20" s="697">
        <v>75.890029999999996</v>
      </c>
      <c r="I20" s="698">
        <v>1.5059335333333332</v>
      </c>
      <c r="J20" s="699" t="s">
        <v>1</v>
      </c>
    </row>
    <row r="21" spans="1:10" ht="14.45" customHeight="1" x14ac:dyDescent="0.2">
      <c r="A21" s="695" t="s">
        <v>531</v>
      </c>
      <c r="B21" s="696" t="s">
        <v>524</v>
      </c>
      <c r="C21" s="697">
        <v>1498.7141500000018</v>
      </c>
      <c r="D21" s="697">
        <v>1442.8764000000003</v>
      </c>
      <c r="E21" s="697"/>
      <c r="F21" s="697">
        <v>1259.3805200000006</v>
      </c>
      <c r="G21" s="697">
        <v>1490</v>
      </c>
      <c r="H21" s="697">
        <v>-230.61947999999938</v>
      </c>
      <c r="I21" s="698">
        <v>0.84522182550335612</v>
      </c>
      <c r="J21" s="699" t="s">
        <v>1</v>
      </c>
    </row>
    <row r="22" spans="1:10" ht="14.45" customHeight="1" x14ac:dyDescent="0.2">
      <c r="A22" s="695" t="s">
        <v>531</v>
      </c>
      <c r="B22" s="696" t="s">
        <v>525</v>
      </c>
      <c r="C22" s="697">
        <v>458.32360000000017</v>
      </c>
      <c r="D22" s="697">
        <v>26.18638</v>
      </c>
      <c r="E22" s="697"/>
      <c r="F22" s="697">
        <v>273.08759999999995</v>
      </c>
      <c r="G22" s="697">
        <v>50</v>
      </c>
      <c r="H22" s="697">
        <v>223.08759999999995</v>
      </c>
      <c r="I22" s="698">
        <v>5.4617519999999988</v>
      </c>
      <c r="J22" s="699" t="s">
        <v>1</v>
      </c>
    </row>
    <row r="23" spans="1:10" ht="14.45" customHeight="1" x14ac:dyDescent="0.2">
      <c r="A23" s="695" t="s">
        <v>531</v>
      </c>
      <c r="B23" s="696" t="s">
        <v>526</v>
      </c>
      <c r="C23" s="697">
        <v>1809.7616400000002</v>
      </c>
      <c r="D23" s="697">
        <v>1762.2655199999995</v>
      </c>
      <c r="E23" s="697"/>
      <c r="F23" s="697">
        <v>991.84510999999895</v>
      </c>
      <c r="G23" s="697">
        <v>1460</v>
      </c>
      <c r="H23" s="697">
        <v>-468.15489000000105</v>
      </c>
      <c r="I23" s="698">
        <v>0.67934596575342399</v>
      </c>
      <c r="J23" s="699" t="s">
        <v>1</v>
      </c>
    </row>
    <row r="24" spans="1:10" ht="14.45" customHeight="1" x14ac:dyDescent="0.2">
      <c r="A24" s="695" t="s">
        <v>531</v>
      </c>
      <c r="B24" s="696" t="s">
        <v>527</v>
      </c>
      <c r="C24" s="697">
        <v>533.79880999999989</v>
      </c>
      <c r="D24" s="697">
        <v>401.10639999999972</v>
      </c>
      <c r="E24" s="697"/>
      <c r="F24" s="697">
        <v>300.80041999999992</v>
      </c>
      <c r="G24" s="697">
        <v>380</v>
      </c>
      <c r="H24" s="697">
        <v>-79.199580000000083</v>
      </c>
      <c r="I24" s="698">
        <v>0.79158005263157871</v>
      </c>
      <c r="J24" s="699" t="s">
        <v>1</v>
      </c>
    </row>
    <row r="25" spans="1:10" ht="14.45" customHeight="1" x14ac:dyDescent="0.2">
      <c r="A25" s="695" t="s">
        <v>531</v>
      </c>
      <c r="B25" s="696" t="s">
        <v>528</v>
      </c>
      <c r="C25" s="697">
        <v>129.09759999999997</v>
      </c>
      <c r="D25" s="697">
        <v>142.46489000000003</v>
      </c>
      <c r="E25" s="697"/>
      <c r="F25" s="697">
        <v>150.71853999999999</v>
      </c>
      <c r="G25" s="697">
        <v>150</v>
      </c>
      <c r="H25" s="697">
        <v>0.71853999999999019</v>
      </c>
      <c r="I25" s="698">
        <v>1.0047902666666666</v>
      </c>
      <c r="J25" s="699" t="s">
        <v>1</v>
      </c>
    </row>
    <row r="26" spans="1:10" ht="14.45" customHeight="1" x14ac:dyDescent="0.2">
      <c r="A26" s="695" t="s">
        <v>531</v>
      </c>
      <c r="B26" s="696" t="s">
        <v>533</v>
      </c>
      <c r="C26" s="697">
        <v>10842.020960000003</v>
      </c>
      <c r="D26" s="697">
        <v>10967.659519999999</v>
      </c>
      <c r="E26" s="697"/>
      <c r="F26" s="697">
        <v>10025.78976</v>
      </c>
      <c r="G26" s="697">
        <v>10250</v>
      </c>
      <c r="H26" s="697">
        <v>-224.21024000000034</v>
      </c>
      <c r="I26" s="698">
        <v>0.97812583024390243</v>
      </c>
      <c r="J26" s="699" t="s">
        <v>534</v>
      </c>
    </row>
    <row r="27" spans="1:10" ht="14.45" customHeight="1" x14ac:dyDescent="0.2">
      <c r="A27" s="695" t="s">
        <v>520</v>
      </c>
      <c r="B27" s="696" t="s">
        <v>520</v>
      </c>
      <c r="C27" s="697" t="s">
        <v>520</v>
      </c>
      <c r="D27" s="697" t="s">
        <v>520</v>
      </c>
      <c r="E27" s="697"/>
      <c r="F27" s="697" t="s">
        <v>520</v>
      </c>
      <c r="G27" s="697" t="s">
        <v>520</v>
      </c>
      <c r="H27" s="697" t="s">
        <v>520</v>
      </c>
      <c r="I27" s="698" t="s">
        <v>520</v>
      </c>
      <c r="J27" s="699" t="s">
        <v>535</v>
      </c>
    </row>
    <row r="28" spans="1:10" ht="14.45" customHeight="1" x14ac:dyDescent="0.2">
      <c r="A28" s="695" t="s">
        <v>518</v>
      </c>
      <c r="B28" s="696" t="s">
        <v>529</v>
      </c>
      <c r="C28" s="697">
        <v>10842.020960000003</v>
      </c>
      <c r="D28" s="697">
        <v>10967.659519999999</v>
      </c>
      <c r="E28" s="697"/>
      <c r="F28" s="697">
        <v>10025.78976</v>
      </c>
      <c r="G28" s="697">
        <v>10250</v>
      </c>
      <c r="H28" s="697">
        <v>-224.21024000000034</v>
      </c>
      <c r="I28" s="698">
        <v>0.97812583024390243</v>
      </c>
      <c r="J28" s="699" t="s">
        <v>530</v>
      </c>
    </row>
  </sheetData>
  <mergeCells count="3">
    <mergeCell ref="F3:I3"/>
    <mergeCell ref="C4:D4"/>
    <mergeCell ref="A1:I1"/>
  </mergeCells>
  <conditionalFormatting sqref="F15 F29:F65537">
    <cfRule type="cellIs" dxfId="60" priority="18" stopIfTrue="1" operator="greaterThan">
      <formula>1</formula>
    </cfRule>
  </conditionalFormatting>
  <conditionalFormatting sqref="H5:H14">
    <cfRule type="expression" dxfId="59" priority="14">
      <formula>$H5&gt;0</formula>
    </cfRule>
  </conditionalFormatting>
  <conditionalFormatting sqref="I5:I14">
    <cfRule type="expression" dxfId="58" priority="15">
      <formula>$I5&gt;1</formula>
    </cfRule>
  </conditionalFormatting>
  <conditionalFormatting sqref="B5:B14">
    <cfRule type="expression" dxfId="57" priority="11">
      <formula>OR($J5="NS",$J5="SumaNS",$J5="Účet")</formula>
    </cfRule>
  </conditionalFormatting>
  <conditionalFormatting sqref="B5:D14 F5:I14">
    <cfRule type="expression" dxfId="56" priority="17">
      <formula>AND($J5&lt;&gt;"",$J5&lt;&gt;"mezeraKL")</formula>
    </cfRule>
  </conditionalFormatting>
  <conditionalFormatting sqref="B5:D14 F5:I14">
    <cfRule type="expression" dxfId="55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54" priority="13">
      <formula>OR($J5="SumaNS",$J5="NS")</formula>
    </cfRule>
  </conditionalFormatting>
  <conditionalFormatting sqref="A5:A14">
    <cfRule type="expression" dxfId="53" priority="9">
      <formula>AND($J5&lt;&gt;"mezeraKL",$J5&lt;&gt;"")</formula>
    </cfRule>
  </conditionalFormatting>
  <conditionalFormatting sqref="A5:A14">
    <cfRule type="expression" dxfId="52" priority="10">
      <formula>AND($J5&lt;&gt;"",$J5&lt;&gt;"mezeraKL")</formula>
    </cfRule>
  </conditionalFormatting>
  <conditionalFormatting sqref="H16:H28">
    <cfRule type="expression" dxfId="51" priority="5">
      <formula>$H16&gt;0</formula>
    </cfRule>
  </conditionalFormatting>
  <conditionalFormatting sqref="A16:A28">
    <cfRule type="expression" dxfId="50" priority="2">
      <formula>AND($J16&lt;&gt;"mezeraKL",$J16&lt;&gt;"")</formula>
    </cfRule>
  </conditionalFormatting>
  <conditionalFormatting sqref="I16:I28">
    <cfRule type="expression" dxfId="49" priority="6">
      <formula>$I16&gt;1</formula>
    </cfRule>
  </conditionalFormatting>
  <conditionalFormatting sqref="B16:B28">
    <cfRule type="expression" dxfId="48" priority="1">
      <formula>OR($J16="NS",$J16="SumaNS",$J16="Účet")</formula>
    </cfRule>
  </conditionalFormatting>
  <conditionalFormatting sqref="A16:D28 F16:I28">
    <cfRule type="expression" dxfId="47" priority="8">
      <formula>AND($J16&lt;&gt;"",$J16&lt;&gt;"mezeraKL")</formula>
    </cfRule>
  </conditionalFormatting>
  <conditionalFormatting sqref="B16:D28 F16:I28">
    <cfRule type="expression" dxfId="46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28 F16:I28">
    <cfRule type="expression" dxfId="45" priority="4">
      <formula>OR($J16="SumaNS",$J16="NS")</formula>
    </cfRule>
  </conditionalFormatting>
  <hyperlinks>
    <hyperlink ref="A2" location="Obsah!A1" display="Zpět na Obsah  KL 01  1.-4.měsíc" xr:uid="{504B69C2-2F7A-437D-8A12-8729E304DD5D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61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233" hidden="1" customWidth="1" outlineLevel="1"/>
    <col min="2" max="2" width="28.28515625" style="233" hidden="1" customWidth="1" outlineLevel="1"/>
    <col min="3" max="3" width="5.28515625" style="315" bestFit="1" customWidth="1" collapsed="1"/>
    <col min="4" max="4" width="18.7109375" style="319" customWidth="1"/>
    <col min="5" max="5" width="9" style="438" bestFit="1" customWidth="1"/>
    <col min="6" max="6" width="18.7109375" style="319" customWidth="1"/>
    <col min="7" max="7" width="5" style="315" customWidth="1"/>
    <col min="8" max="8" width="12.42578125" style="315" hidden="1" customWidth="1" outlineLevel="1"/>
    <col min="9" max="9" width="8.5703125" style="315" hidden="1" customWidth="1" outlineLevel="1"/>
    <col min="10" max="10" width="25.7109375" style="315" customWidth="1" collapsed="1"/>
    <col min="11" max="11" width="8.7109375" style="315" customWidth="1"/>
    <col min="12" max="13" width="7.7109375" style="313" customWidth="1"/>
    <col min="14" max="14" width="12.7109375" style="313" customWidth="1"/>
    <col min="15" max="16384" width="8.85546875" style="233"/>
  </cols>
  <sheetData>
    <row r="1" spans="1:14" ht="18.600000000000001" customHeight="1" thickBot="1" x14ac:dyDescent="0.35">
      <c r="A1" s="529" t="s">
        <v>182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</row>
    <row r="2" spans="1:14" ht="14.45" customHeight="1" thickBot="1" x14ac:dyDescent="0.25">
      <c r="A2" s="666" t="s">
        <v>305</v>
      </c>
      <c r="B2" s="66"/>
      <c r="C2" s="317"/>
      <c r="D2" s="317"/>
      <c r="E2" s="437"/>
      <c r="F2" s="317"/>
      <c r="G2" s="317"/>
      <c r="H2" s="317"/>
      <c r="I2" s="317"/>
      <c r="J2" s="317"/>
      <c r="K2" s="317"/>
      <c r="L2" s="318"/>
      <c r="M2" s="318"/>
      <c r="N2" s="318"/>
    </row>
    <row r="3" spans="1:14" ht="14.45" customHeight="1" thickBot="1" x14ac:dyDescent="0.25">
      <c r="A3" s="66"/>
      <c r="B3" s="66"/>
      <c r="C3" s="525"/>
      <c r="D3" s="526"/>
      <c r="E3" s="526"/>
      <c r="F3" s="526"/>
      <c r="G3" s="526"/>
      <c r="H3" s="526"/>
      <c r="I3" s="526"/>
      <c r="J3" s="527" t="s">
        <v>143</v>
      </c>
      <c r="K3" s="528"/>
      <c r="L3" s="189">
        <f>IF(M3&lt;&gt;0,N3/M3,0)</f>
        <v>402.33928683306931</v>
      </c>
      <c r="M3" s="189">
        <f>SUBTOTAL(9,M5:M1048576)</f>
        <v>25194.089999999993</v>
      </c>
      <c r="N3" s="190">
        <f>SUBTOTAL(9,N5:N1048576)</f>
        <v>10136572.20300816</v>
      </c>
    </row>
    <row r="4" spans="1:14" s="314" customFormat="1" ht="14.45" customHeight="1" thickBot="1" x14ac:dyDescent="0.25">
      <c r="A4" s="700" t="s">
        <v>4</v>
      </c>
      <c r="B4" s="701" t="s">
        <v>5</v>
      </c>
      <c r="C4" s="701" t="s">
        <v>0</v>
      </c>
      <c r="D4" s="701" t="s">
        <v>6</v>
      </c>
      <c r="E4" s="702" t="s">
        <v>7</v>
      </c>
      <c r="F4" s="701" t="s">
        <v>1</v>
      </c>
      <c r="G4" s="701" t="s">
        <v>8</v>
      </c>
      <c r="H4" s="701" t="s">
        <v>9</v>
      </c>
      <c r="I4" s="701" t="s">
        <v>10</v>
      </c>
      <c r="J4" s="703" t="s">
        <v>11</v>
      </c>
      <c r="K4" s="703" t="s">
        <v>12</v>
      </c>
      <c r="L4" s="704" t="s">
        <v>167</v>
      </c>
      <c r="M4" s="704" t="s">
        <v>13</v>
      </c>
      <c r="N4" s="705" t="s">
        <v>178</v>
      </c>
    </row>
    <row r="5" spans="1:14" ht="14.45" customHeight="1" x14ac:dyDescent="0.2">
      <c r="A5" s="708" t="s">
        <v>518</v>
      </c>
      <c r="B5" s="709" t="s">
        <v>519</v>
      </c>
      <c r="C5" s="710" t="s">
        <v>531</v>
      </c>
      <c r="D5" s="711" t="s">
        <v>532</v>
      </c>
      <c r="E5" s="712">
        <v>50113001</v>
      </c>
      <c r="F5" s="711" t="s">
        <v>536</v>
      </c>
      <c r="G5" s="710" t="s">
        <v>537</v>
      </c>
      <c r="H5" s="710">
        <v>846758</v>
      </c>
      <c r="I5" s="710">
        <v>103387</v>
      </c>
      <c r="J5" s="710" t="s">
        <v>538</v>
      </c>
      <c r="K5" s="710" t="s">
        <v>539</v>
      </c>
      <c r="L5" s="713">
        <v>72.078548752834479</v>
      </c>
      <c r="M5" s="713">
        <v>441</v>
      </c>
      <c r="N5" s="714">
        <v>31786.640000000007</v>
      </c>
    </row>
    <row r="6" spans="1:14" ht="14.45" customHeight="1" x14ac:dyDescent="0.2">
      <c r="A6" s="715" t="s">
        <v>518</v>
      </c>
      <c r="B6" s="716" t="s">
        <v>519</v>
      </c>
      <c r="C6" s="717" t="s">
        <v>531</v>
      </c>
      <c r="D6" s="718" t="s">
        <v>532</v>
      </c>
      <c r="E6" s="719">
        <v>50113001</v>
      </c>
      <c r="F6" s="718" t="s">
        <v>536</v>
      </c>
      <c r="G6" s="717" t="s">
        <v>537</v>
      </c>
      <c r="H6" s="717">
        <v>192729</v>
      </c>
      <c r="I6" s="717">
        <v>92729</v>
      </c>
      <c r="J6" s="717" t="s">
        <v>540</v>
      </c>
      <c r="K6" s="717" t="s">
        <v>541</v>
      </c>
      <c r="L6" s="720">
        <v>48.370769230769241</v>
      </c>
      <c r="M6" s="720">
        <v>65</v>
      </c>
      <c r="N6" s="721">
        <v>3144.1000000000008</v>
      </c>
    </row>
    <row r="7" spans="1:14" ht="14.45" customHeight="1" x14ac:dyDescent="0.2">
      <c r="A7" s="715" t="s">
        <v>518</v>
      </c>
      <c r="B7" s="716" t="s">
        <v>519</v>
      </c>
      <c r="C7" s="717" t="s">
        <v>531</v>
      </c>
      <c r="D7" s="718" t="s">
        <v>532</v>
      </c>
      <c r="E7" s="719">
        <v>50113001</v>
      </c>
      <c r="F7" s="718" t="s">
        <v>536</v>
      </c>
      <c r="G7" s="717" t="s">
        <v>537</v>
      </c>
      <c r="H7" s="717">
        <v>192730</v>
      </c>
      <c r="I7" s="717">
        <v>92730</v>
      </c>
      <c r="J7" s="717" t="s">
        <v>540</v>
      </c>
      <c r="K7" s="717" t="s">
        <v>542</v>
      </c>
      <c r="L7" s="720">
        <v>449.77857142857147</v>
      </c>
      <c r="M7" s="720">
        <v>28</v>
      </c>
      <c r="N7" s="721">
        <v>12593.800000000001</v>
      </c>
    </row>
    <row r="8" spans="1:14" ht="14.45" customHeight="1" x14ac:dyDescent="0.2">
      <c r="A8" s="715" t="s">
        <v>518</v>
      </c>
      <c r="B8" s="716" t="s">
        <v>519</v>
      </c>
      <c r="C8" s="717" t="s">
        <v>531</v>
      </c>
      <c r="D8" s="718" t="s">
        <v>532</v>
      </c>
      <c r="E8" s="719">
        <v>50113001</v>
      </c>
      <c r="F8" s="718" t="s">
        <v>536</v>
      </c>
      <c r="G8" s="717" t="s">
        <v>537</v>
      </c>
      <c r="H8" s="717">
        <v>100362</v>
      </c>
      <c r="I8" s="717">
        <v>362</v>
      </c>
      <c r="J8" s="717" t="s">
        <v>543</v>
      </c>
      <c r="K8" s="717" t="s">
        <v>544</v>
      </c>
      <c r="L8" s="720">
        <v>72.659999999999982</v>
      </c>
      <c r="M8" s="720">
        <v>30</v>
      </c>
      <c r="N8" s="721">
        <v>2179.7999999999993</v>
      </c>
    </row>
    <row r="9" spans="1:14" ht="14.45" customHeight="1" x14ac:dyDescent="0.2">
      <c r="A9" s="715" t="s">
        <v>518</v>
      </c>
      <c r="B9" s="716" t="s">
        <v>519</v>
      </c>
      <c r="C9" s="717" t="s">
        <v>531</v>
      </c>
      <c r="D9" s="718" t="s">
        <v>532</v>
      </c>
      <c r="E9" s="719">
        <v>50113001</v>
      </c>
      <c r="F9" s="718" t="s">
        <v>536</v>
      </c>
      <c r="G9" s="717" t="s">
        <v>537</v>
      </c>
      <c r="H9" s="717">
        <v>128831</v>
      </c>
      <c r="I9" s="717">
        <v>28831</v>
      </c>
      <c r="J9" s="717" t="s">
        <v>545</v>
      </c>
      <c r="K9" s="717" t="s">
        <v>546</v>
      </c>
      <c r="L9" s="720">
        <v>162.9</v>
      </c>
      <c r="M9" s="720">
        <v>3</v>
      </c>
      <c r="N9" s="721">
        <v>488.70000000000005</v>
      </c>
    </row>
    <row r="10" spans="1:14" ht="14.45" customHeight="1" x14ac:dyDescent="0.2">
      <c r="A10" s="715" t="s">
        <v>518</v>
      </c>
      <c r="B10" s="716" t="s">
        <v>519</v>
      </c>
      <c r="C10" s="717" t="s">
        <v>531</v>
      </c>
      <c r="D10" s="718" t="s">
        <v>532</v>
      </c>
      <c r="E10" s="719">
        <v>50113001</v>
      </c>
      <c r="F10" s="718" t="s">
        <v>536</v>
      </c>
      <c r="G10" s="717" t="s">
        <v>537</v>
      </c>
      <c r="H10" s="717">
        <v>845008</v>
      </c>
      <c r="I10" s="717">
        <v>107806</v>
      </c>
      <c r="J10" s="717" t="s">
        <v>547</v>
      </c>
      <c r="K10" s="717" t="s">
        <v>548</v>
      </c>
      <c r="L10" s="720">
        <v>66.269285714285715</v>
      </c>
      <c r="M10" s="720">
        <v>14</v>
      </c>
      <c r="N10" s="721">
        <v>927.7700000000001</v>
      </c>
    </row>
    <row r="11" spans="1:14" ht="14.45" customHeight="1" x14ac:dyDescent="0.2">
      <c r="A11" s="715" t="s">
        <v>518</v>
      </c>
      <c r="B11" s="716" t="s">
        <v>519</v>
      </c>
      <c r="C11" s="717" t="s">
        <v>531</v>
      </c>
      <c r="D11" s="718" t="s">
        <v>532</v>
      </c>
      <c r="E11" s="719">
        <v>50113001</v>
      </c>
      <c r="F11" s="718" t="s">
        <v>536</v>
      </c>
      <c r="G11" s="717" t="s">
        <v>537</v>
      </c>
      <c r="H11" s="717">
        <v>202701</v>
      </c>
      <c r="I11" s="717">
        <v>202701</v>
      </c>
      <c r="J11" s="717" t="s">
        <v>547</v>
      </c>
      <c r="K11" s="717" t="s">
        <v>549</v>
      </c>
      <c r="L11" s="720">
        <v>135.29499999999999</v>
      </c>
      <c r="M11" s="720">
        <v>6</v>
      </c>
      <c r="N11" s="721">
        <v>811.77</v>
      </c>
    </row>
    <row r="12" spans="1:14" ht="14.45" customHeight="1" x14ac:dyDescent="0.2">
      <c r="A12" s="715" t="s">
        <v>518</v>
      </c>
      <c r="B12" s="716" t="s">
        <v>519</v>
      </c>
      <c r="C12" s="717" t="s">
        <v>531</v>
      </c>
      <c r="D12" s="718" t="s">
        <v>532</v>
      </c>
      <c r="E12" s="719">
        <v>50113001</v>
      </c>
      <c r="F12" s="718" t="s">
        <v>536</v>
      </c>
      <c r="G12" s="717" t="s">
        <v>537</v>
      </c>
      <c r="H12" s="717">
        <v>153200</v>
      </c>
      <c r="I12" s="717">
        <v>53200</v>
      </c>
      <c r="J12" s="717" t="s">
        <v>550</v>
      </c>
      <c r="K12" s="717" t="s">
        <v>551</v>
      </c>
      <c r="L12" s="720">
        <v>52.348434782608692</v>
      </c>
      <c r="M12" s="720">
        <v>115</v>
      </c>
      <c r="N12" s="721">
        <v>6020.07</v>
      </c>
    </row>
    <row r="13" spans="1:14" ht="14.45" customHeight="1" x14ac:dyDescent="0.2">
      <c r="A13" s="715" t="s">
        <v>518</v>
      </c>
      <c r="B13" s="716" t="s">
        <v>519</v>
      </c>
      <c r="C13" s="717" t="s">
        <v>531</v>
      </c>
      <c r="D13" s="718" t="s">
        <v>532</v>
      </c>
      <c r="E13" s="719">
        <v>50113001</v>
      </c>
      <c r="F13" s="718" t="s">
        <v>536</v>
      </c>
      <c r="G13" s="717" t="s">
        <v>552</v>
      </c>
      <c r="H13" s="717">
        <v>115378</v>
      </c>
      <c r="I13" s="717">
        <v>15378</v>
      </c>
      <c r="J13" s="717" t="s">
        <v>553</v>
      </c>
      <c r="K13" s="717" t="s">
        <v>554</v>
      </c>
      <c r="L13" s="720">
        <v>21.21</v>
      </c>
      <c r="M13" s="720">
        <v>2</v>
      </c>
      <c r="N13" s="721">
        <v>42.42</v>
      </c>
    </row>
    <row r="14" spans="1:14" ht="14.45" customHeight="1" x14ac:dyDescent="0.2">
      <c r="A14" s="715" t="s">
        <v>518</v>
      </c>
      <c r="B14" s="716" t="s">
        <v>519</v>
      </c>
      <c r="C14" s="717" t="s">
        <v>531</v>
      </c>
      <c r="D14" s="718" t="s">
        <v>532</v>
      </c>
      <c r="E14" s="719">
        <v>50113001</v>
      </c>
      <c r="F14" s="718" t="s">
        <v>536</v>
      </c>
      <c r="G14" s="717" t="s">
        <v>552</v>
      </c>
      <c r="H14" s="717">
        <v>102945</v>
      </c>
      <c r="I14" s="717">
        <v>2945</v>
      </c>
      <c r="J14" s="717" t="s">
        <v>553</v>
      </c>
      <c r="K14" s="717" t="s">
        <v>555</v>
      </c>
      <c r="L14" s="720">
        <v>8.66</v>
      </c>
      <c r="M14" s="720">
        <v>1</v>
      </c>
      <c r="N14" s="721">
        <v>8.66</v>
      </c>
    </row>
    <row r="15" spans="1:14" ht="14.45" customHeight="1" x14ac:dyDescent="0.2">
      <c r="A15" s="715" t="s">
        <v>518</v>
      </c>
      <c r="B15" s="716" t="s">
        <v>519</v>
      </c>
      <c r="C15" s="717" t="s">
        <v>531</v>
      </c>
      <c r="D15" s="718" t="s">
        <v>532</v>
      </c>
      <c r="E15" s="719">
        <v>50113001</v>
      </c>
      <c r="F15" s="718" t="s">
        <v>536</v>
      </c>
      <c r="G15" s="717" t="s">
        <v>537</v>
      </c>
      <c r="H15" s="717">
        <v>201384</v>
      </c>
      <c r="I15" s="717">
        <v>201384</v>
      </c>
      <c r="J15" s="717" t="s">
        <v>556</v>
      </c>
      <c r="K15" s="717" t="s">
        <v>557</v>
      </c>
      <c r="L15" s="720">
        <v>1098.0499999999997</v>
      </c>
      <c r="M15" s="720">
        <v>1</v>
      </c>
      <c r="N15" s="721">
        <v>1098.0499999999997</v>
      </c>
    </row>
    <row r="16" spans="1:14" ht="14.45" customHeight="1" x14ac:dyDescent="0.2">
      <c r="A16" s="715" t="s">
        <v>518</v>
      </c>
      <c r="B16" s="716" t="s">
        <v>519</v>
      </c>
      <c r="C16" s="717" t="s">
        <v>531</v>
      </c>
      <c r="D16" s="718" t="s">
        <v>532</v>
      </c>
      <c r="E16" s="719">
        <v>50113001</v>
      </c>
      <c r="F16" s="718" t="s">
        <v>536</v>
      </c>
      <c r="G16" s="717" t="s">
        <v>537</v>
      </c>
      <c r="H16" s="717">
        <v>176954</v>
      </c>
      <c r="I16" s="717">
        <v>176954</v>
      </c>
      <c r="J16" s="717" t="s">
        <v>558</v>
      </c>
      <c r="K16" s="717" t="s">
        <v>559</v>
      </c>
      <c r="L16" s="720">
        <v>94.805238095238082</v>
      </c>
      <c r="M16" s="720">
        <v>21</v>
      </c>
      <c r="N16" s="721">
        <v>1990.9099999999999</v>
      </c>
    </row>
    <row r="17" spans="1:14" ht="14.45" customHeight="1" x14ac:dyDescent="0.2">
      <c r="A17" s="715" t="s">
        <v>518</v>
      </c>
      <c r="B17" s="716" t="s">
        <v>519</v>
      </c>
      <c r="C17" s="717" t="s">
        <v>531</v>
      </c>
      <c r="D17" s="718" t="s">
        <v>532</v>
      </c>
      <c r="E17" s="719">
        <v>50113001</v>
      </c>
      <c r="F17" s="718" t="s">
        <v>536</v>
      </c>
      <c r="G17" s="717" t="s">
        <v>537</v>
      </c>
      <c r="H17" s="717">
        <v>136505</v>
      </c>
      <c r="I17" s="717">
        <v>136505</v>
      </c>
      <c r="J17" s="717" t="s">
        <v>560</v>
      </c>
      <c r="K17" s="717" t="s">
        <v>561</v>
      </c>
      <c r="L17" s="720">
        <v>51.17</v>
      </c>
      <c r="M17" s="720">
        <v>1</v>
      </c>
      <c r="N17" s="721">
        <v>51.17</v>
      </c>
    </row>
    <row r="18" spans="1:14" ht="14.45" customHeight="1" x14ac:dyDescent="0.2">
      <c r="A18" s="715" t="s">
        <v>518</v>
      </c>
      <c r="B18" s="716" t="s">
        <v>519</v>
      </c>
      <c r="C18" s="717" t="s">
        <v>531</v>
      </c>
      <c r="D18" s="718" t="s">
        <v>532</v>
      </c>
      <c r="E18" s="719">
        <v>50113001</v>
      </c>
      <c r="F18" s="718" t="s">
        <v>536</v>
      </c>
      <c r="G18" s="717" t="s">
        <v>537</v>
      </c>
      <c r="H18" s="717">
        <v>167547</v>
      </c>
      <c r="I18" s="717">
        <v>67547</v>
      </c>
      <c r="J18" s="717" t="s">
        <v>562</v>
      </c>
      <c r="K18" s="717" t="s">
        <v>563</v>
      </c>
      <c r="L18" s="720">
        <v>47.12</v>
      </c>
      <c r="M18" s="720">
        <v>13</v>
      </c>
      <c r="N18" s="721">
        <v>612.55999999999995</v>
      </c>
    </row>
    <row r="19" spans="1:14" ht="14.45" customHeight="1" x14ac:dyDescent="0.2">
      <c r="A19" s="715" t="s">
        <v>518</v>
      </c>
      <c r="B19" s="716" t="s">
        <v>519</v>
      </c>
      <c r="C19" s="717" t="s">
        <v>531</v>
      </c>
      <c r="D19" s="718" t="s">
        <v>532</v>
      </c>
      <c r="E19" s="719">
        <v>50113001</v>
      </c>
      <c r="F19" s="718" t="s">
        <v>536</v>
      </c>
      <c r="G19" s="717" t="s">
        <v>552</v>
      </c>
      <c r="H19" s="717">
        <v>127272</v>
      </c>
      <c r="I19" s="717">
        <v>127272</v>
      </c>
      <c r="J19" s="717" t="s">
        <v>564</v>
      </c>
      <c r="K19" s="717" t="s">
        <v>565</v>
      </c>
      <c r="L19" s="720">
        <v>48.600000000000016</v>
      </c>
      <c r="M19" s="720">
        <v>1</v>
      </c>
      <c r="N19" s="721">
        <v>48.600000000000016</v>
      </c>
    </row>
    <row r="20" spans="1:14" ht="14.45" customHeight="1" x14ac:dyDescent="0.2">
      <c r="A20" s="715" t="s">
        <v>518</v>
      </c>
      <c r="B20" s="716" t="s">
        <v>519</v>
      </c>
      <c r="C20" s="717" t="s">
        <v>531</v>
      </c>
      <c r="D20" s="718" t="s">
        <v>532</v>
      </c>
      <c r="E20" s="719">
        <v>50113001</v>
      </c>
      <c r="F20" s="718" t="s">
        <v>536</v>
      </c>
      <c r="G20" s="717" t="s">
        <v>537</v>
      </c>
      <c r="H20" s="717">
        <v>194916</v>
      </c>
      <c r="I20" s="717">
        <v>94916</v>
      </c>
      <c r="J20" s="717" t="s">
        <v>566</v>
      </c>
      <c r="K20" s="717" t="s">
        <v>567</v>
      </c>
      <c r="L20" s="720">
        <v>85.463333333333338</v>
      </c>
      <c r="M20" s="720">
        <v>45</v>
      </c>
      <c r="N20" s="721">
        <v>3845.8500000000004</v>
      </c>
    </row>
    <row r="21" spans="1:14" ht="14.45" customHeight="1" x14ac:dyDescent="0.2">
      <c r="A21" s="715" t="s">
        <v>518</v>
      </c>
      <c r="B21" s="716" t="s">
        <v>519</v>
      </c>
      <c r="C21" s="717" t="s">
        <v>531</v>
      </c>
      <c r="D21" s="718" t="s">
        <v>532</v>
      </c>
      <c r="E21" s="719">
        <v>50113001</v>
      </c>
      <c r="F21" s="718" t="s">
        <v>536</v>
      </c>
      <c r="G21" s="717" t="s">
        <v>537</v>
      </c>
      <c r="H21" s="717">
        <v>194920</v>
      </c>
      <c r="I21" s="717">
        <v>94920</v>
      </c>
      <c r="J21" s="717" t="s">
        <v>568</v>
      </c>
      <c r="K21" s="717" t="s">
        <v>569</v>
      </c>
      <c r="L21" s="720">
        <v>67.665500000000009</v>
      </c>
      <c r="M21" s="720">
        <v>20</v>
      </c>
      <c r="N21" s="721">
        <v>1353.3100000000002</v>
      </c>
    </row>
    <row r="22" spans="1:14" ht="14.45" customHeight="1" x14ac:dyDescent="0.2">
      <c r="A22" s="715" t="s">
        <v>518</v>
      </c>
      <c r="B22" s="716" t="s">
        <v>519</v>
      </c>
      <c r="C22" s="717" t="s">
        <v>531</v>
      </c>
      <c r="D22" s="718" t="s">
        <v>532</v>
      </c>
      <c r="E22" s="719">
        <v>50113001</v>
      </c>
      <c r="F22" s="718" t="s">
        <v>536</v>
      </c>
      <c r="G22" s="717" t="s">
        <v>537</v>
      </c>
      <c r="H22" s="717">
        <v>207930</v>
      </c>
      <c r="I22" s="717">
        <v>207930</v>
      </c>
      <c r="J22" s="717" t="s">
        <v>570</v>
      </c>
      <c r="K22" s="717" t="s">
        <v>571</v>
      </c>
      <c r="L22" s="720">
        <v>37.739999999999995</v>
      </c>
      <c r="M22" s="720">
        <v>1</v>
      </c>
      <c r="N22" s="721">
        <v>37.739999999999995</v>
      </c>
    </row>
    <row r="23" spans="1:14" ht="14.45" customHeight="1" x14ac:dyDescent="0.2">
      <c r="A23" s="715" t="s">
        <v>518</v>
      </c>
      <c r="B23" s="716" t="s">
        <v>519</v>
      </c>
      <c r="C23" s="717" t="s">
        <v>531</v>
      </c>
      <c r="D23" s="718" t="s">
        <v>532</v>
      </c>
      <c r="E23" s="719">
        <v>50113001</v>
      </c>
      <c r="F23" s="718" t="s">
        <v>536</v>
      </c>
      <c r="G23" s="717" t="s">
        <v>537</v>
      </c>
      <c r="H23" s="717">
        <v>845369</v>
      </c>
      <c r="I23" s="717">
        <v>107987</v>
      </c>
      <c r="J23" s="717" t="s">
        <v>572</v>
      </c>
      <c r="K23" s="717" t="s">
        <v>573</v>
      </c>
      <c r="L23" s="720">
        <v>112.20500000000001</v>
      </c>
      <c r="M23" s="720">
        <v>8</v>
      </c>
      <c r="N23" s="721">
        <v>897.6400000000001</v>
      </c>
    </row>
    <row r="24" spans="1:14" ht="14.45" customHeight="1" x14ac:dyDescent="0.2">
      <c r="A24" s="715" t="s">
        <v>518</v>
      </c>
      <c r="B24" s="716" t="s">
        <v>519</v>
      </c>
      <c r="C24" s="717" t="s">
        <v>531</v>
      </c>
      <c r="D24" s="718" t="s">
        <v>532</v>
      </c>
      <c r="E24" s="719">
        <v>50113001</v>
      </c>
      <c r="F24" s="718" t="s">
        <v>536</v>
      </c>
      <c r="G24" s="717" t="s">
        <v>537</v>
      </c>
      <c r="H24" s="717">
        <v>224641</v>
      </c>
      <c r="I24" s="717">
        <v>224641</v>
      </c>
      <c r="J24" s="717" t="s">
        <v>574</v>
      </c>
      <c r="K24" s="717" t="s">
        <v>575</v>
      </c>
      <c r="L24" s="720">
        <v>541.29000000000008</v>
      </c>
      <c r="M24" s="720">
        <v>1</v>
      </c>
      <c r="N24" s="721">
        <v>541.29000000000008</v>
      </c>
    </row>
    <row r="25" spans="1:14" ht="14.45" customHeight="1" x14ac:dyDescent="0.2">
      <c r="A25" s="715" t="s">
        <v>518</v>
      </c>
      <c r="B25" s="716" t="s">
        <v>519</v>
      </c>
      <c r="C25" s="717" t="s">
        <v>531</v>
      </c>
      <c r="D25" s="718" t="s">
        <v>532</v>
      </c>
      <c r="E25" s="719">
        <v>50113001</v>
      </c>
      <c r="F25" s="718" t="s">
        <v>536</v>
      </c>
      <c r="G25" s="717" t="s">
        <v>537</v>
      </c>
      <c r="H25" s="717">
        <v>235897</v>
      </c>
      <c r="I25" s="717">
        <v>235897</v>
      </c>
      <c r="J25" s="717" t="s">
        <v>576</v>
      </c>
      <c r="K25" s="717" t="s">
        <v>577</v>
      </c>
      <c r="L25" s="720">
        <v>61.629999999999995</v>
      </c>
      <c r="M25" s="720">
        <v>1</v>
      </c>
      <c r="N25" s="721">
        <v>61.629999999999995</v>
      </c>
    </row>
    <row r="26" spans="1:14" ht="14.45" customHeight="1" x14ac:dyDescent="0.2">
      <c r="A26" s="715" t="s">
        <v>518</v>
      </c>
      <c r="B26" s="716" t="s">
        <v>519</v>
      </c>
      <c r="C26" s="717" t="s">
        <v>531</v>
      </c>
      <c r="D26" s="718" t="s">
        <v>532</v>
      </c>
      <c r="E26" s="719">
        <v>50113001</v>
      </c>
      <c r="F26" s="718" t="s">
        <v>536</v>
      </c>
      <c r="G26" s="717" t="s">
        <v>537</v>
      </c>
      <c r="H26" s="717">
        <v>207931</v>
      </c>
      <c r="I26" s="717">
        <v>207931</v>
      </c>
      <c r="J26" s="717" t="s">
        <v>578</v>
      </c>
      <c r="K26" s="717" t="s">
        <v>579</v>
      </c>
      <c r="L26" s="720">
        <v>26.093333333333334</v>
      </c>
      <c r="M26" s="720">
        <v>3</v>
      </c>
      <c r="N26" s="721">
        <v>78.28</v>
      </c>
    </row>
    <row r="27" spans="1:14" ht="14.45" customHeight="1" x14ac:dyDescent="0.2">
      <c r="A27" s="715" t="s">
        <v>518</v>
      </c>
      <c r="B27" s="716" t="s">
        <v>519</v>
      </c>
      <c r="C27" s="717" t="s">
        <v>531</v>
      </c>
      <c r="D27" s="718" t="s">
        <v>532</v>
      </c>
      <c r="E27" s="719">
        <v>50113001</v>
      </c>
      <c r="F27" s="718" t="s">
        <v>536</v>
      </c>
      <c r="G27" s="717" t="s">
        <v>537</v>
      </c>
      <c r="H27" s="717">
        <v>196610</v>
      </c>
      <c r="I27" s="717">
        <v>96610</v>
      </c>
      <c r="J27" s="717" t="s">
        <v>580</v>
      </c>
      <c r="K27" s="717" t="s">
        <v>581</v>
      </c>
      <c r="L27" s="720">
        <v>48.567826086956508</v>
      </c>
      <c r="M27" s="720">
        <v>92</v>
      </c>
      <c r="N27" s="721">
        <v>4468.2399999999989</v>
      </c>
    </row>
    <row r="28" spans="1:14" ht="14.45" customHeight="1" x14ac:dyDescent="0.2">
      <c r="A28" s="715" t="s">
        <v>518</v>
      </c>
      <c r="B28" s="716" t="s">
        <v>519</v>
      </c>
      <c r="C28" s="717" t="s">
        <v>531</v>
      </c>
      <c r="D28" s="718" t="s">
        <v>532</v>
      </c>
      <c r="E28" s="719">
        <v>50113001</v>
      </c>
      <c r="F28" s="718" t="s">
        <v>536</v>
      </c>
      <c r="G28" s="717" t="s">
        <v>537</v>
      </c>
      <c r="H28" s="717">
        <v>847713</v>
      </c>
      <c r="I28" s="717">
        <v>125526</v>
      </c>
      <c r="J28" s="717" t="s">
        <v>582</v>
      </c>
      <c r="K28" s="717" t="s">
        <v>583</v>
      </c>
      <c r="L28" s="720">
        <v>111.63</v>
      </c>
      <c r="M28" s="720">
        <v>3</v>
      </c>
      <c r="N28" s="721">
        <v>334.89</v>
      </c>
    </row>
    <row r="29" spans="1:14" ht="14.45" customHeight="1" x14ac:dyDescent="0.2">
      <c r="A29" s="715" t="s">
        <v>518</v>
      </c>
      <c r="B29" s="716" t="s">
        <v>519</v>
      </c>
      <c r="C29" s="717" t="s">
        <v>531</v>
      </c>
      <c r="D29" s="718" t="s">
        <v>532</v>
      </c>
      <c r="E29" s="719">
        <v>50113001</v>
      </c>
      <c r="F29" s="718" t="s">
        <v>536</v>
      </c>
      <c r="G29" s="717" t="s">
        <v>537</v>
      </c>
      <c r="H29" s="717">
        <v>189244</v>
      </c>
      <c r="I29" s="717">
        <v>89244</v>
      </c>
      <c r="J29" s="717" t="s">
        <v>584</v>
      </c>
      <c r="K29" s="717" t="s">
        <v>585</v>
      </c>
      <c r="L29" s="720">
        <v>20.76</v>
      </c>
      <c r="M29" s="720">
        <v>280</v>
      </c>
      <c r="N29" s="721">
        <v>5812.8</v>
      </c>
    </row>
    <row r="30" spans="1:14" ht="14.45" customHeight="1" x14ac:dyDescent="0.2">
      <c r="A30" s="715" t="s">
        <v>518</v>
      </c>
      <c r="B30" s="716" t="s">
        <v>519</v>
      </c>
      <c r="C30" s="717" t="s">
        <v>531</v>
      </c>
      <c r="D30" s="718" t="s">
        <v>532</v>
      </c>
      <c r="E30" s="719">
        <v>50113001</v>
      </c>
      <c r="F30" s="718" t="s">
        <v>536</v>
      </c>
      <c r="G30" s="717" t="s">
        <v>537</v>
      </c>
      <c r="H30" s="717">
        <v>10561</v>
      </c>
      <c r="I30" s="717">
        <v>10561</v>
      </c>
      <c r="J30" s="717" t="s">
        <v>586</v>
      </c>
      <c r="K30" s="717" t="s">
        <v>587</v>
      </c>
      <c r="L30" s="720">
        <v>250.79999999999998</v>
      </c>
      <c r="M30" s="720">
        <v>3</v>
      </c>
      <c r="N30" s="721">
        <v>752.4</v>
      </c>
    </row>
    <row r="31" spans="1:14" ht="14.45" customHeight="1" x14ac:dyDescent="0.2">
      <c r="A31" s="715" t="s">
        <v>518</v>
      </c>
      <c r="B31" s="716" t="s">
        <v>519</v>
      </c>
      <c r="C31" s="717" t="s">
        <v>531</v>
      </c>
      <c r="D31" s="718" t="s">
        <v>532</v>
      </c>
      <c r="E31" s="719">
        <v>50113001</v>
      </c>
      <c r="F31" s="718" t="s">
        <v>536</v>
      </c>
      <c r="G31" s="717" t="s">
        <v>537</v>
      </c>
      <c r="H31" s="717">
        <v>173320</v>
      </c>
      <c r="I31" s="717">
        <v>173320</v>
      </c>
      <c r="J31" s="717" t="s">
        <v>588</v>
      </c>
      <c r="K31" s="717" t="s">
        <v>589</v>
      </c>
      <c r="L31" s="720">
        <v>524.59</v>
      </c>
      <c r="M31" s="720">
        <v>2</v>
      </c>
      <c r="N31" s="721">
        <v>1049.18</v>
      </c>
    </row>
    <row r="32" spans="1:14" ht="14.45" customHeight="1" x14ac:dyDescent="0.2">
      <c r="A32" s="715" t="s">
        <v>518</v>
      </c>
      <c r="B32" s="716" t="s">
        <v>519</v>
      </c>
      <c r="C32" s="717" t="s">
        <v>531</v>
      </c>
      <c r="D32" s="718" t="s">
        <v>532</v>
      </c>
      <c r="E32" s="719">
        <v>50113001</v>
      </c>
      <c r="F32" s="718" t="s">
        <v>536</v>
      </c>
      <c r="G32" s="717" t="s">
        <v>537</v>
      </c>
      <c r="H32" s="717">
        <v>173322</v>
      </c>
      <c r="I32" s="717">
        <v>173322</v>
      </c>
      <c r="J32" s="717" t="s">
        <v>590</v>
      </c>
      <c r="K32" s="717" t="s">
        <v>591</v>
      </c>
      <c r="L32" s="720">
        <v>803.66</v>
      </c>
      <c r="M32" s="720">
        <v>3</v>
      </c>
      <c r="N32" s="721">
        <v>2410.98</v>
      </c>
    </row>
    <row r="33" spans="1:14" ht="14.45" customHeight="1" x14ac:dyDescent="0.2">
      <c r="A33" s="715" t="s">
        <v>518</v>
      </c>
      <c r="B33" s="716" t="s">
        <v>519</v>
      </c>
      <c r="C33" s="717" t="s">
        <v>531</v>
      </c>
      <c r="D33" s="718" t="s">
        <v>532</v>
      </c>
      <c r="E33" s="719">
        <v>50113001</v>
      </c>
      <c r="F33" s="718" t="s">
        <v>536</v>
      </c>
      <c r="G33" s="717" t="s">
        <v>537</v>
      </c>
      <c r="H33" s="717">
        <v>187764</v>
      </c>
      <c r="I33" s="717">
        <v>87764</v>
      </c>
      <c r="J33" s="717" t="s">
        <v>592</v>
      </c>
      <c r="K33" s="717" t="s">
        <v>593</v>
      </c>
      <c r="L33" s="720">
        <v>52.46</v>
      </c>
      <c r="M33" s="720">
        <v>21</v>
      </c>
      <c r="N33" s="721">
        <v>1101.6600000000001</v>
      </c>
    </row>
    <row r="34" spans="1:14" ht="14.45" customHeight="1" x14ac:dyDescent="0.2">
      <c r="A34" s="715" t="s">
        <v>518</v>
      </c>
      <c r="B34" s="716" t="s">
        <v>519</v>
      </c>
      <c r="C34" s="717" t="s">
        <v>531</v>
      </c>
      <c r="D34" s="718" t="s">
        <v>532</v>
      </c>
      <c r="E34" s="719">
        <v>50113001</v>
      </c>
      <c r="F34" s="718" t="s">
        <v>536</v>
      </c>
      <c r="G34" s="717" t="s">
        <v>537</v>
      </c>
      <c r="H34" s="717">
        <v>187825</v>
      </c>
      <c r="I34" s="717">
        <v>87825</v>
      </c>
      <c r="J34" s="717" t="s">
        <v>594</v>
      </c>
      <c r="K34" s="717" t="s">
        <v>593</v>
      </c>
      <c r="L34" s="720">
        <v>80.369166666666658</v>
      </c>
      <c r="M34" s="720">
        <v>48</v>
      </c>
      <c r="N34" s="721">
        <v>3857.72</v>
      </c>
    </row>
    <row r="35" spans="1:14" ht="14.45" customHeight="1" x14ac:dyDescent="0.2">
      <c r="A35" s="715" t="s">
        <v>518</v>
      </c>
      <c r="B35" s="716" t="s">
        <v>519</v>
      </c>
      <c r="C35" s="717" t="s">
        <v>531</v>
      </c>
      <c r="D35" s="718" t="s">
        <v>532</v>
      </c>
      <c r="E35" s="719">
        <v>50113001</v>
      </c>
      <c r="F35" s="718" t="s">
        <v>536</v>
      </c>
      <c r="G35" s="717" t="s">
        <v>537</v>
      </c>
      <c r="H35" s="717">
        <v>173367</v>
      </c>
      <c r="I35" s="717">
        <v>173367</v>
      </c>
      <c r="J35" s="717" t="s">
        <v>595</v>
      </c>
      <c r="K35" s="717" t="s">
        <v>596</v>
      </c>
      <c r="L35" s="720">
        <v>1035.6500000000003</v>
      </c>
      <c r="M35" s="720">
        <v>19</v>
      </c>
      <c r="N35" s="721">
        <v>19677.350000000006</v>
      </c>
    </row>
    <row r="36" spans="1:14" ht="14.45" customHeight="1" x14ac:dyDescent="0.2">
      <c r="A36" s="715" t="s">
        <v>518</v>
      </c>
      <c r="B36" s="716" t="s">
        <v>519</v>
      </c>
      <c r="C36" s="717" t="s">
        <v>531</v>
      </c>
      <c r="D36" s="718" t="s">
        <v>532</v>
      </c>
      <c r="E36" s="719">
        <v>50113001</v>
      </c>
      <c r="F36" s="718" t="s">
        <v>536</v>
      </c>
      <c r="G36" s="717" t="s">
        <v>537</v>
      </c>
      <c r="H36" s="717">
        <v>169667</v>
      </c>
      <c r="I36" s="717">
        <v>69667</v>
      </c>
      <c r="J36" s="717" t="s">
        <v>597</v>
      </c>
      <c r="K36" s="717" t="s">
        <v>593</v>
      </c>
      <c r="L36" s="720">
        <v>103.56975073042931</v>
      </c>
      <c r="M36" s="720">
        <v>240</v>
      </c>
      <c r="N36" s="721">
        <v>24856.740175303032</v>
      </c>
    </row>
    <row r="37" spans="1:14" ht="14.45" customHeight="1" x14ac:dyDescent="0.2">
      <c r="A37" s="715" t="s">
        <v>518</v>
      </c>
      <c r="B37" s="716" t="s">
        <v>519</v>
      </c>
      <c r="C37" s="717" t="s">
        <v>531</v>
      </c>
      <c r="D37" s="718" t="s">
        <v>532</v>
      </c>
      <c r="E37" s="719">
        <v>50113001</v>
      </c>
      <c r="F37" s="718" t="s">
        <v>536</v>
      </c>
      <c r="G37" s="717" t="s">
        <v>537</v>
      </c>
      <c r="H37" s="717">
        <v>173382</v>
      </c>
      <c r="I37" s="717">
        <v>173382</v>
      </c>
      <c r="J37" s="717" t="s">
        <v>598</v>
      </c>
      <c r="K37" s="717" t="s">
        <v>599</v>
      </c>
      <c r="L37" s="720">
        <v>404.25</v>
      </c>
      <c r="M37" s="720">
        <v>1</v>
      </c>
      <c r="N37" s="721">
        <v>404.25</v>
      </c>
    </row>
    <row r="38" spans="1:14" ht="14.45" customHeight="1" x14ac:dyDescent="0.2">
      <c r="A38" s="715" t="s">
        <v>518</v>
      </c>
      <c r="B38" s="716" t="s">
        <v>519</v>
      </c>
      <c r="C38" s="717" t="s">
        <v>531</v>
      </c>
      <c r="D38" s="718" t="s">
        <v>532</v>
      </c>
      <c r="E38" s="719">
        <v>50113001</v>
      </c>
      <c r="F38" s="718" t="s">
        <v>536</v>
      </c>
      <c r="G38" s="717" t="s">
        <v>537</v>
      </c>
      <c r="H38" s="717">
        <v>173394</v>
      </c>
      <c r="I38" s="717">
        <v>173394</v>
      </c>
      <c r="J38" s="717" t="s">
        <v>600</v>
      </c>
      <c r="K38" s="717" t="s">
        <v>601</v>
      </c>
      <c r="L38" s="720">
        <v>423.72</v>
      </c>
      <c r="M38" s="720">
        <v>2</v>
      </c>
      <c r="N38" s="721">
        <v>847.44</v>
      </c>
    </row>
    <row r="39" spans="1:14" ht="14.45" customHeight="1" x14ac:dyDescent="0.2">
      <c r="A39" s="715" t="s">
        <v>518</v>
      </c>
      <c r="B39" s="716" t="s">
        <v>519</v>
      </c>
      <c r="C39" s="717" t="s">
        <v>531</v>
      </c>
      <c r="D39" s="718" t="s">
        <v>532</v>
      </c>
      <c r="E39" s="719">
        <v>50113001</v>
      </c>
      <c r="F39" s="718" t="s">
        <v>536</v>
      </c>
      <c r="G39" s="717" t="s">
        <v>537</v>
      </c>
      <c r="H39" s="717">
        <v>187822</v>
      </c>
      <c r="I39" s="717">
        <v>87822</v>
      </c>
      <c r="J39" s="717" t="s">
        <v>602</v>
      </c>
      <c r="K39" s="717" t="s">
        <v>603</v>
      </c>
      <c r="L39" s="720">
        <v>1301.03</v>
      </c>
      <c r="M39" s="720">
        <v>2</v>
      </c>
      <c r="N39" s="721">
        <v>2602.06</v>
      </c>
    </row>
    <row r="40" spans="1:14" ht="14.45" customHeight="1" x14ac:dyDescent="0.2">
      <c r="A40" s="715" t="s">
        <v>518</v>
      </c>
      <c r="B40" s="716" t="s">
        <v>519</v>
      </c>
      <c r="C40" s="717" t="s">
        <v>531</v>
      </c>
      <c r="D40" s="718" t="s">
        <v>532</v>
      </c>
      <c r="E40" s="719">
        <v>50113001</v>
      </c>
      <c r="F40" s="718" t="s">
        <v>536</v>
      </c>
      <c r="G40" s="717" t="s">
        <v>537</v>
      </c>
      <c r="H40" s="717">
        <v>126409</v>
      </c>
      <c r="I40" s="717">
        <v>26409</v>
      </c>
      <c r="J40" s="717" t="s">
        <v>604</v>
      </c>
      <c r="K40" s="717" t="s">
        <v>605</v>
      </c>
      <c r="L40" s="720">
        <v>606.68999999999994</v>
      </c>
      <c r="M40" s="720">
        <v>1</v>
      </c>
      <c r="N40" s="721">
        <v>606.68999999999994</v>
      </c>
    </row>
    <row r="41" spans="1:14" ht="14.45" customHeight="1" x14ac:dyDescent="0.2">
      <c r="A41" s="715" t="s">
        <v>518</v>
      </c>
      <c r="B41" s="716" t="s">
        <v>519</v>
      </c>
      <c r="C41" s="717" t="s">
        <v>531</v>
      </c>
      <c r="D41" s="718" t="s">
        <v>532</v>
      </c>
      <c r="E41" s="719">
        <v>50113001</v>
      </c>
      <c r="F41" s="718" t="s">
        <v>536</v>
      </c>
      <c r="G41" s="717" t="s">
        <v>537</v>
      </c>
      <c r="H41" s="717">
        <v>196303</v>
      </c>
      <c r="I41" s="717">
        <v>96303</v>
      </c>
      <c r="J41" s="717" t="s">
        <v>606</v>
      </c>
      <c r="K41" s="717" t="s">
        <v>607</v>
      </c>
      <c r="L41" s="720">
        <v>55.090000000000011</v>
      </c>
      <c r="M41" s="720">
        <v>1</v>
      </c>
      <c r="N41" s="721">
        <v>55.090000000000011</v>
      </c>
    </row>
    <row r="42" spans="1:14" ht="14.45" customHeight="1" x14ac:dyDescent="0.2">
      <c r="A42" s="715" t="s">
        <v>518</v>
      </c>
      <c r="B42" s="716" t="s">
        <v>519</v>
      </c>
      <c r="C42" s="717" t="s">
        <v>531</v>
      </c>
      <c r="D42" s="718" t="s">
        <v>532</v>
      </c>
      <c r="E42" s="719">
        <v>50113001</v>
      </c>
      <c r="F42" s="718" t="s">
        <v>536</v>
      </c>
      <c r="G42" s="717" t="s">
        <v>537</v>
      </c>
      <c r="H42" s="717">
        <v>100392</v>
      </c>
      <c r="I42" s="717">
        <v>392</v>
      </c>
      <c r="J42" s="717" t="s">
        <v>608</v>
      </c>
      <c r="K42" s="717" t="s">
        <v>609</v>
      </c>
      <c r="L42" s="720">
        <v>57.530000000000008</v>
      </c>
      <c r="M42" s="720">
        <v>6</v>
      </c>
      <c r="N42" s="721">
        <v>345.18000000000006</v>
      </c>
    </row>
    <row r="43" spans="1:14" ht="14.45" customHeight="1" x14ac:dyDescent="0.2">
      <c r="A43" s="715" t="s">
        <v>518</v>
      </c>
      <c r="B43" s="716" t="s">
        <v>519</v>
      </c>
      <c r="C43" s="717" t="s">
        <v>531</v>
      </c>
      <c r="D43" s="718" t="s">
        <v>532</v>
      </c>
      <c r="E43" s="719">
        <v>50113001</v>
      </c>
      <c r="F43" s="718" t="s">
        <v>536</v>
      </c>
      <c r="G43" s="717" t="s">
        <v>537</v>
      </c>
      <c r="H43" s="717">
        <v>192351</v>
      </c>
      <c r="I43" s="717">
        <v>92351</v>
      </c>
      <c r="J43" s="717" t="s">
        <v>610</v>
      </c>
      <c r="K43" s="717" t="s">
        <v>611</v>
      </c>
      <c r="L43" s="720">
        <v>86.22</v>
      </c>
      <c r="M43" s="720">
        <v>42</v>
      </c>
      <c r="N43" s="721">
        <v>3621.24</v>
      </c>
    </row>
    <row r="44" spans="1:14" ht="14.45" customHeight="1" x14ac:dyDescent="0.2">
      <c r="A44" s="715" t="s">
        <v>518</v>
      </c>
      <c r="B44" s="716" t="s">
        <v>519</v>
      </c>
      <c r="C44" s="717" t="s">
        <v>531</v>
      </c>
      <c r="D44" s="718" t="s">
        <v>532</v>
      </c>
      <c r="E44" s="719">
        <v>50113001</v>
      </c>
      <c r="F44" s="718" t="s">
        <v>536</v>
      </c>
      <c r="G44" s="717" t="s">
        <v>537</v>
      </c>
      <c r="H44" s="717">
        <v>112895</v>
      </c>
      <c r="I44" s="717">
        <v>12895</v>
      </c>
      <c r="J44" s="717" t="s">
        <v>612</v>
      </c>
      <c r="K44" s="717" t="s">
        <v>613</v>
      </c>
      <c r="L44" s="720">
        <v>106.61999999999999</v>
      </c>
      <c r="M44" s="720">
        <v>3</v>
      </c>
      <c r="N44" s="721">
        <v>319.85999999999996</v>
      </c>
    </row>
    <row r="45" spans="1:14" ht="14.45" customHeight="1" x14ac:dyDescent="0.2">
      <c r="A45" s="715" t="s">
        <v>518</v>
      </c>
      <c r="B45" s="716" t="s">
        <v>519</v>
      </c>
      <c r="C45" s="717" t="s">
        <v>531</v>
      </c>
      <c r="D45" s="718" t="s">
        <v>532</v>
      </c>
      <c r="E45" s="719">
        <v>50113001</v>
      </c>
      <c r="F45" s="718" t="s">
        <v>536</v>
      </c>
      <c r="G45" s="717" t="s">
        <v>537</v>
      </c>
      <c r="H45" s="717">
        <v>112892</v>
      </c>
      <c r="I45" s="717">
        <v>12892</v>
      </c>
      <c r="J45" s="717" t="s">
        <v>612</v>
      </c>
      <c r="K45" s="717" t="s">
        <v>614</v>
      </c>
      <c r="L45" s="720">
        <v>104.10333333333331</v>
      </c>
      <c r="M45" s="720">
        <v>9</v>
      </c>
      <c r="N45" s="721">
        <v>936.92999999999984</v>
      </c>
    </row>
    <row r="46" spans="1:14" ht="14.45" customHeight="1" x14ac:dyDescent="0.2">
      <c r="A46" s="715" t="s">
        <v>518</v>
      </c>
      <c r="B46" s="716" t="s">
        <v>519</v>
      </c>
      <c r="C46" s="717" t="s">
        <v>531</v>
      </c>
      <c r="D46" s="718" t="s">
        <v>532</v>
      </c>
      <c r="E46" s="719">
        <v>50113001</v>
      </c>
      <c r="F46" s="718" t="s">
        <v>536</v>
      </c>
      <c r="G46" s="717" t="s">
        <v>537</v>
      </c>
      <c r="H46" s="717">
        <v>132853</v>
      </c>
      <c r="I46" s="717">
        <v>132853</v>
      </c>
      <c r="J46" s="717" t="s">
        <v>612</v>
      </c>
      <c r="K46" s="717" t="s">
        <v>614</v>
      </c>
      <c r="L46" s="720">
        <v>103.32</v>
      </c>
      <c r="M46" s="720">
        <v>1</v>
      </c>
      <c r="N46" s="721">
        <v>103.32</v>
      </c>
    </row>
    <row r="47" spans="1:14" ht="14.45" customHeight="1" x14ac:dyDescent="0.2">
      <c r="A47" s="715" t="s">
        <v>518</v>
      </c>
      <c r="B47" s="716" t="s">
        <v>519</v>
      </c>
      <c r="C47" s="717" t="s">
        <v>531</v>
      </c>
      <c r="D47" s="718" t="s">
        <v>532</v>
      </c>
      <c r="E47" s="719">
        <v>50113001</v>
      </c>
      <c r="F47" s="718" t="s">
        <v>536</v>
      </c>
      <c r="G47" s="717" t="s">
        <v>537</v>
      </c>
      <c r="H47" s="717">
        <v>112891</v>
      </c>
      <c r="I47" s="717">
        <v>12891</v>
      </c>
      <c r="J47" s="717" t="s">
        <v>612</v>
      </c>
      <c r="K47" s="717" t="s">
        <v>615</v>
      </c>
      <c r="L47" s="720">
        <v>58.290000000000013</v>
      </c>
      <c r="M47" s="720">
        <v>2</v>
      </c>
      <c r="N47" s="721">
        <v>116.58000000000003</v>
      </c>
    </row>
    <row r="48" spans="1:14" ht="14.45" customHeight="1" x14ac:dyDescent="0.2">
      <c r="A48" s="715" t="s">
        <v>518</v>
      </c>
      <c r="B48" s="716" t="s">
        <v>519</v>
      </c>
      <c r="C48" s="717" t="s">
        <v>531</v>
      </c>
      <c r="D48" s="718" t="s">
        <v>532</v>
      </c>
      <c r="E48" s="719">
        <v>50113001</v>
      </c>
      <c r="F48" s="718" t="s">
        <v>536</v>
      </c>
      <c r="G48" s="717" t="s">
        <v>537</v>
      </c>
      <c r="H48" s="717">
        <v>112894</v>
      </c>
      <c r="I48" s="717">
        <v>12894</v>
      </c>
      <c r="J48" s="717" t="s">
        <v>612</v>
      </c>
      <c r="K48" s="717" t="s">
        <v>616</v>
      </c>
      <c r="L48" s="720">
        <v>60.640000000000008</v>
      </c>
      <c r="M48" s="720">
        <v>3</v>
      </c>
      <c r="N48" s="721">
        <v>181.92000000000002</v>
      </c>
    </row>
    <row r="49" spans="1:14" ht="14.45" customHeight="1" x14ac:dyDescent="0.2">
      <c r="A49" s="715" t="s">
        <v>518</v>
      </c>
      <c r="B49" s="716" t="s">
        <v>519</v>
      </c>
      <c r="C49" s="717" t="s">
        <v>531</v>
      </c>
      <c r="D49" s="718" t="s">
        <v>532</v>
      </c>
      <c r="E49" s="719">
        <v>50113001</v>
      </c>
      <c r="F49" s="718" t="s">
        <v>536</v>
      </c>
      <c r="G49" s="717" t="s">
        <v>537</v>
      </c>
      <c r="H49" s="717">
        <v>66046</v>
      </c>
      <c r="I49" s="717">
        <v>66046</v>
      </c>
      <c r="J49" s="717" t="s">
        <v>617</v>
      </c>
      <c r="K49" s="717" t="s">
        <v>618</v>
      </c>
      <c r="L49" s="720">
        <v>173.18</v>
      </c>
      <c r="M49" s="720">
        <v>2</v>
      </c>
      <c r="N49" s="721">
        <v>346.36</v>
      </c>
    </row>
    <row r="50" spans="1:14" ht="14.45" customHeight="1" x14ac:dyDescent="0.2">
      <c r="A50" s="715" t="s">
        <v>518</v>
      </c>
      <c r="B50" s="716" t="s">
        <v>519</v>
      </c>
      <c r="C50" s="717" t="s">
        <v>531</v>
      </c>
      <c r="D50" s="718" t="s">
        <v>532</v>
      </c>
      <c r="E50" s="719">
        <v>50113001</v>
      </c>
      <c r="F50" s="718" t="s">
        <v>536</v>
      </c>
      <c r="G50" s="717" t="s">
        <v>537</v>
      </c>
      <c r="H50" s="717">
        <v>119757</v>
      </c>
      <c r="I50" s="717">
        <v>19757</v>
      </c>
      <c r="J50" s="717" t="s">
        <v>619</v>
      </c>
      <c r="K50" s="717" t="s">
        <v>620</v>
      </c>
      <c r="L50" s="720">
        <v>71.72</v>
      </c>
      <c r="M50" s="720">
        <v>1</v>
      </c>
      <c r="N50" s="721">
        <v>71.72</v>
      </c>
    </row>
    <row r="51" spans="1:14" ht="14.45" customHeight="1" x14ac:dyDescent="0.2">
      <c r="A51" s="715" t="s">
        <v>518</v>
      </c>
      <c r="B51" s="716" t="s">
        <v>519</v>
      </c>
      <c r="C51" s="717" t="s">
        <v>531</v>
      </c>
      <c r="D51" s="718" t="s">
        <v>532</v>
      </c>
      <c r="E51" s="719">
        <v>50113001</v>
      </c>
      <c r="F51" s="718" t="s">
        <v>536</v>
      </c>
      <c r="G51" s="717" t="s">
        <v>537</v>
      </c>
      <c r="H51" s="717">
        <v>176496</v>
      </c>
      <c r="I51" s="717">
        <v>76496</v>
      </c>
      <c r="J51" s="717" t="s">
        <v>621</v>
      </c>
      <c r="K51" s="717" t="s">
        <v>622</v>
      </c>
      <c r="L51" s="720">
        <v>125.42999999999999</v>
      </c>
      <c r="M51" s="720">
        <v>61</v>
      </c>
      <c r="N51" s="721">
        <v>7651.23</v>
      </c>
    </row>
    <row r="52" spans="1:14" ht="14.45" customHeight="1" x14ac:dyDescent="0.2">
      <c r="A52" s="715" t="s">
        <v>518</v>
      </c>
      <c r="B52" s="716" t="s">
        <v>519</v>
      </c>
      <c r="C52" s="717" t="s">
        <v>531</v>
      </c>
      <c r="D52" s="718" t="s">
        <v>532</v>
      </c>
      <c r="E52" s="719">
        <v>50113001</v>
      </c>
      <c r="F52" s="718" t="s">
        <v>536</v>
      </c>
      <c r="G52" s="717" t="s">
        <v>537</v>
      </c>
      <c r="H52" s="717">
        <v>162320</v>
      </c>
      <c r="I52" s="717">
        <v>62320</v>
      </c>
      <c r="J52" s="717" t="s">
        <v>623</v>
      </c>
      <c r="K52" s="717" t="s">
        <v>624</v>
      </c>
      <c r="L52" s="720">
        <v>75.89</v>
      </c>
      <c r="M52" s="720">
        <v>1</v>
      </c>
      <c r="N52" s="721">
        <v>75.89</v>
      </c>
    </row>
    <row r="53" spans="1:14" ht="14.45" customHeight="1" x14ac:dyDescent="0.2">
      <c r="A53" s="715" t="s">
        <v>518</v>
      </c>
      <c r="B53" s="716" t="s">
        <v>519</v>
      </c>
      <c r="C53" s="717" t="s">
        <v>531</v>
      </c>
      <c r="D53" s="718" t="s">
        <v>532</v>
      </c>
      <c r="E53" s="719">
        <v>50113001</v>
      </c>
      <c r="F53" s="718" t="s">
        <v>536</v>
      </c>
      <c r="G53" s="717" t="s">
        <v>537</v>
      </c>
      <c r="H53" s="717">
        <v>162317</v>
      </c>
      <c r="I53" s="717">
        <v>62317</v>
      </c>
      <c r="J53" s="717" t="s">
        <v>625</v>
      </c>
      <c r="K53" s="717" t="s">
        <v>626</v>
      </c>
      <c r="L53" s="720">
        <v>286.00000000000006</v>
      </c>
      <c r="M53" s="720">
        <v>3</v>
      </c>
      <c r="N53" s="721">
        <v>858.00000000000023</v>
      </c>
    </row>
    <row r="54" spans="1:14" ht="14.45" customHeight="1" x14ac:dyDescent="0.2">
      <c r="A54" s="715" t="s">
        <v>518</v>
      </c>
      <c r="B54" s="716" t="s">
        <v>519</v>
      </c>
      <c r="C54" s="717" t="s">
        <v>531</v>
      </c>
      <c r="D54" s="718" t="s">
        <v>532</v>
      </c>
      <c r="E54" s="719">
        <v>50113001</v>
      </c>
      <c r="F54" s="718" t="s">
        <v>536</v>
      </c>
      <c r="G54" s="717" t="s">
        <v>552</v>
      </c>
      <c r="H54" s="717">
        <v>183974</v>
      </c>
      <c r="I54" s="717">
        <v>83974</v>
      </c>
      <c r="J54" s="717" t="s">
        <v>627</v>
      </c>
      <c r="K54" s="717" t="s">
        <v>628</v>
      </c>
      <c r="L54" s="720">
        <v>88.45</v>
      </c>
      <c r="M54" s="720">
        <v>6</v>
      </c>
      <c r="N54" s="721">
        <v>530.70000000000005</v>
      </c>
    </row>
    <row r="55" spans="1:14" ht="14.45" customHeight="1" x14ac:dyDescent="0.2">
      <c r="A55" s="715" t="s">
        <v>518</v>
      </c>
      <c r="B55" s="716" t="s">
        <v>519</v>
      </c>
      <c r="C55" s="717" t="s">
        <v>531</v>
      </c>
      <c r="D55" s="718" t="s">
        <v>532</v>
      </c>
      <c r="E55" s="719">
        <v>50113001</v>
      </c>
      <c r="F55" s="718" t="s">
        <v>536</v>
      </c>
      <c r="G55" s="717" t="s">
        <v>552</v>
      </c>
      <c r="H55" s="717">
        <v>231703</v>
      </c>
      <c r="I55" s="717">
        <v>231703</v>
      </c>
      <c r="J55" s="717" t="s">
        <v>627</v>
      </c>
      <c r="K55" s="717" t="s">
        <v>628</v>
      </c>
      <c r="L55" s="720">
        <v>89.023777777777767</v>
      </c>
      <c r="M55" s="720">
        <v>45</v>
      </c>
      <c r="N55" s="721">
        <v>4006.0699999999997</v>
      </c>
    </row>
    <row r="56" spans="1:14" ht="14.45" customHeight="1" x14ac:dyDescent="0.2">
      <c r="A56" s="715" t="s">
        <v>518</v>
      </c>
      <c r="B56" s="716" t="s">
        <v>519</v>
      </c>
      <c r="C56" s="717" t="s">
        <v>531</v>
      </c>
      <c r="D56" s="718" t="s">
        <v>532</v>
      </c>
      <c r="E56" s="719">
        <v>50113001</v>
      </c>
      <c r="F56" s="718" t="s">
        <v>536</v>
      </c>
      <c r="G56" s="717" t="s">
        <v>552</v>
      </c>
      <c r="H56" s="717">
        <v>231701</v>
      </c>
      <c r="I56" s="717">
        <v>231701</v>
      </c>
      <c r="J56" s="717" t="s">
        <v>629</v>
      </c>
      <c r="K56" s="717" t="s">
        <v>630</v>
      </c>
      <c r="L56" s="720">
        <v>93.78</v>
      </c>
      <c r="M56" s="720">
        <v>1</v>
      </c>
      <c r="N56" s="721">
        <v>93.78</v>
      </c>
    </row>
    <row r="57" spans="1:14" ht="14.45" customHeight="1" x14ac:dyDescent="0.2">
      <c r="A57" s="715" t="s">
        <v>518</v>
      </c>
      <c r="B57" s="716" t="s">
        <v>519</v>
      </c>
      <c r="C57" s="717" t="s">
        <v>531</v>
      </c>
      <c r="D57" s="718" t="s">
        <v>532</v>
      </c>
      <c r="E57" s="719">
        <v>50113001</v>
      </c>
      <c r="F57" s="718" t="s">
        <v>536</v>
      </c>
      <c r="G57" s="717" t="s">
        <v>552</v>
      </c>
      <c r="H57" s="717">
        <v>145499</v>
      </c>
      <c r="I57" s="717">
        <v>45499</v>
      </c>
      <c r="J57" s="717" t="s">
        <v>631</v>
      </c>
      <c r="K57" s="717" t="s">
        <v>632</v>
      </c>
      <c r="L57" s="720">
        <v>101.74</v>
      </c>
      <c r="M57" s="720">
        <v>1</v>
      </c>
      <c r="N57" s="721">
        <v>101.74</v>
      </c>
    </row>
    <row r="58" spans="1:14" ht="14.45" customHeight="1" x14ac:dyDescent="0.2">
      <c r="A58" s="715" t="s">
        <v>518</v>
      </c>
      <c r="B58" s="716" t="s">
        <v>519</v>
      </c>
      <c r="C58" s="717" t="s">
        <v>531</v>
      </c>
      <c r="D58" s="718" t="s">
        <v>532</v>
      </c>
      <c r="E58" s="719">
        <v>50113001</v>
      </c>
      <c r="F58" s="718" t="s">
        <v>536</v>
      </c>
      <c r="G58" s="717" t="s">
        <v>552</v>
      </c>
      <c r="H58" s="717">
        <v>229646</v>
      </c>
      <c r="I58" s="717">
        <v>229646</v>
      </c>
      <c r="J58" s="717" t="s">
        <v>633</v>
      </c>
      <c r="K58" s="717" t="s">
        <v>634</v>
      </c>
      <c r="L58" s="720">
        <v>77.19</v>
      </c>
      <c r="M58" s="720">
        <v>1</v>
      </c>
      <c r="N58" s="721">
        <v>77.19</v>
      </c>
    </row>
    <row r="59" spans="1:14" ht="14.45" customHeight="1" x14ac:dyDescent="0.2">
      <c r="A59" s="715" t="s">
        <v>518</v>
      </c>
      <c r="B59" s="716" t="s">
        <v>519</v>
      </c>
      <c r="C59" s="717" t="s">
        <v>531</v>
      </c>
      <c r="D59" s="718" t="s">
        <v>532</v>
      </c>
      <c r="E59" s="719">
        <v>50113001</v>
      </c>
      <c r="F59" s="718" t="s">
        <v>536</v>
      </c>
      <c r="G59" s="717" t="s">
        <v>537</v>
      </c>
      <c r="H59" s="717">
        <v>993603</v>
      </c>
      <c r="I59" s="717">
        <v>0</v>
      </c>
      <c r="J59" s="717" t="s">
        <v>635</v>
      </c>
      <c r="K59" s="717" t="s">
        <v>520</v>
      </c>
      <c r="L59" s="720">
        <v>178.23999762163112</v>
      </c>
      <c r="M59" s="720">
        <v>5</v>
      </c>
      <c r="N59" s="721">
        <v>891.19998810815559</v>
      </c>
    </row>
    <row r="60" spans="1:14" ht="14.45" customHeight="1" x14ac:dyDescent="0.2">
      <c r="A60" s="715" t="s">
        <v>518</v>
      </c>
      <c r="B60" s="716" t="s">
        <v>519</v>
      </c>
      <c r="C60" s="717" t="s">
        <v>531</v>
      </c>
      <c r="D60" s="718" t="s">
        <v>532</v>
      </c>
      <c r="E60" s="719">
        <v>50113001</v>
      </c>
      <c r="F60" s="718" t="s">
        <v>536</v>
      </c>
      <c r="G60" s="717" t="s">
        <v>552</v>
      </c>
      <c r="H60" s="717">
        <v>233584</v>
      </c>
      <c r="I60" s="717">
        <v>233584</v>
      </c>
      <c r="J60" s="717" t="s">
        <v>636</v>
      </c>
      <c r="K60" s="717" t="s">
        <v>637</v>
      </c>
      <c r="L60" s="720">
        <v>87.05</v>
      </c>
      <c r="M60" s="720">
        <v>1</v>
      </c>
      <c r="N60" s="721">
        <v>87.05</v>
      </c>
    </row>
    <row r="61" spans="1:14" ht="14.45" customHeight="1" x14ac:dyDescent="0.2">
      <c r="A61" s="715" t="s">
        <v>518</v>
      </c>
      <c r="B61" s="716" t="s">
        <v>519</v>
      </c>
      <c r="C61" s="717" t="s">
        <v>531</v>
      </c>
      <c r="D61" s="718" t="s">
        <v>532</v>
      </c>
      <c r="E61" s="719">
        <v>50113001</v>
      </c>
      <c r="F61" s="718" t="s">
        <v>536</v>
      </c>
      <c r="G61" s="717" t="s">
        <v>520</v>
      </c>
      <c r="H61" s="717">
        <v>158692</v>
      </c>
      <c r="I61" s="717">
        <v>158692</v>
      </c>
      <c r="J61" s="717" t="s">
        <v>636</v>
      </c>
      <c r="K61" s="717" t="s">
        <v>638</v>
      </c>
      <c r="L61" s="720">
        <v>26.015000000000004</v>
      </c>
      <c r="M61" s="720">
        <v>6</v>
      </c>
      <c r="N61" s="721">
        <v>156.09000000000003</v>
      </c>
    </row>
    <row r="62" spans="1:14" ht="14.45" customHeight="1" x14ac:dyDescent="0.2">
      <c r="A62" s="715" t="s">
        <v>518</v>
      </c>
      <c r="B62" s="716" t="s">
        <v>519</v>
      </c>
      <c r="C62" s="717" t="s">
        <v>531</v>
      </c>
      <c r="D62" s="718" t="s">
        <v>532</v>
      </c>
      <c r="E62" s="719">
        <v>50113001</v>
      </c>
      <c r="F62" s="718" t="s">
        <v>536</v>
      </c>
      <c r="G62" s="717" t="s">
        <v>520</v>
      </c>
      <c r="H62" s="717">
        <v>158697</v>
      </c>
      <c r="I62" s="717">
        <v>158697</v>
      </c>
      <c r="J62" s="717" t="s">
        <v>636</v>
      </c>
      <c r="K62" s="717" t="s">
        <v>637</v>
      </c>
      <c r="L62" s="720">
        <v>86.846666666666678</v>
      </c>
      <c r="M62" s="720">
        <v>3</v>
      </c>
      <c r="N62" s="721">
        <v>260.54000000000002</v>
      </c>
    </row>
    <row r="63" spans="1:14" ht="14.45" customHeight="1" x14ac:dyDescent="0.2">
      <c r="A63" s="715" t="s">
        <v>518</v>
      </c>
      <c r="B63" s="716" t="s">
        <v>519</v>
      </c>
      <c r="C63" s="717" t="s">
        <v>531</v>
      </c>
      <c r="D63" s="718" t="s">
        <v>532</v>
      </c>
      <c r="E63" s="719">
        <v>50113001</v>
      </c>
      <c r="F63" s="718" t="s">
        <v>536</v>
      </c>
      <c r="G63" s="717" t="s">
        <v>537</v>
      </c>
      <c r="H63" s="717">
        <v>394130</v>
      </c>
      <c r="I63" s="717">
        <v>0</v>
      </c>
      <c r="J63" s="717" t="s">
        <v>639</v>
      </c>
      <c r="K63" s="717" t="s">
        <v>520</v>
      </c>
      <c r="L63" s="720">
        <v>36.979999999999997</v>
      </c>
      <c r="M63" s="720">
        <v>1</v>
      </c>
      <c r="N63" s="721">
        <v>36.979999999999997</v>
      </c>
    </row>
    <row r="64" spans="1:14" ht="14.45" customHeight="1" x14ac:dyDescent="0.2">
      <c r="A64" s="715" t="s">
        <v>518</v>
      </c>
      <c r="B64" s="716" t="s">
        <v>519</v>
      </c>
      <c r="C64" s="717" t="s">
        <v>531</v>
      </c>
      <c r="D64" s="718" t="s">
        <v>532</v>
      </c>
      <c r="E64" s="719">
        <v>50113001</v>
      </c>
      <c r="F64" s="718" t="s">
        <v>536</v>
      </c>
      <c r="G64" s="717" t="s">
        <v>537</v>
      </c>
      <c r="H64" s="717">
        <v>850607</v>
      </c>
      <c r="I64" s="717">
        <v>0</v>
      </c>
      <c r="J64" s="717" t="s">
        <v>640</v>
      </c>
      <c r="K64" s="717" t="s">
        <v>520</v>
      </c>
      <c r="L64" s="720">
        <v>74.430000000000007</v>
      </c>
      <c r="M64" s="720">
        <v>1</v>
      </c>
      <c r="N64" s="721">
        <v>74.430000000000007</v>
      </c>
    </row>
    <row r="65" spans="1:14" ht="14.45" customHeight="1" x14ac:dyDescent="0.2">
      <c r="A65" s="715" t="s">
        <v>518</v>
      </c>
      <c r="B65" s="716" t="s">
        <v>519</v>
      </c>
      <c r="C65" s="717" t="s">
        <v>531</v>
      </c>
      <c r="D65" s="718" t="s">
        <v>532</v>
      </c>
      <c r="E65" s="719">
        <v>50113001</v>
      </c>
      <c r="F65" s="718" t="s">
        <v>536</v>
      </c>
      <c r="G65" s="717" t="s">
        <v>537</v>
      </c>
      <c r="H65" s="717">
        <v>116320</v>
      </c>
      <c r="I65" s="717">
        <v>16320</v>
      </c>
      <c r="J65" s="717" t="s">
        <v>641</v>
      </c>
      <c r="K65" s="717" t="s">
        <v>642</v>
      </c>
      <c r="L65" s="720">
        <v>118.67999999999999</v>
      </c>
      <c r="M65" s="720">
        <v>1</v>
      </c>
      <c r="N65" s="721">
        <v>118.67999999999999</v>
      </c>
    </row>
    <row r="66" spans="1:14" ht="14.45" customHeight="1" x14ac:dyDescent="0.2">
      <c r="A66" s="715" t="s">
        <v>518</v>
      </c>
      <c r="B66" s="716" t="s">
        <v>519</v>
      </c>
      <c r="C66" s="717" t="s">
        <v>531</v>
      </c>
      <c r="D66" s="718" t="s">
        <v>532</v>
      </c>
      <c r="E66" s="719">
        <v>50113001</v>
      </c>
      <c r="F66" s="718" t="s">
        <v>536</v>
      </c>
      <c r="G66" s="717" t="s">
        <v>537</v>
      </c>
      <c r="H66" s="717">
        <v>194726</v>
      </c>
      <c r="I66" s="717">
        <v>194726</v>
      </c>
      <c r="J66" s="717" t="s">
        <v>643</v>
      </c>
      <c r="K66" s="717" t="s">
        <v>644</v>
      </c>
      <c r="L66" s="720">
        <v>840.86000000000024</v>
      </c>
      <c r="M66" s="720">
        <v>1</v>
      </c>
      <c r="N66" s="721">
        <v>840.86000000000024</v>
      </c>
    </row>
    <row r="67" spans="1:14" ht="14.45" customHeight="1" x14ac:dyDescent="0.2">
      <c r="A67" s="715" t="s">
        <v>518</v>
      </c>
      <c r="B67" s="716" t="s">
        <v>519</v>
      </c>
      <c r="C67" s="717" t="s">
        <v>531</v>
      </c>
      <c r="D67" s="718" t="s">
        <v>532</v>
      </c>
      <c r="E67" s="719">
        <v>50113001</v>
      </c>
      <c r="F67" s="718" t="s">
        <v>536</v>
      </c>
      <c r="G67" s="717" t="s">
        <v>537</v>
      </c>
      <c r="H67" s="717">
        <v>234194</v>
      </c>
      <c r="I67" s="717">
        <v>234194</v>
      </c>
      <c r="J67" s="717" t="s">
        <v>645</v>
      </c>
      <c r="K67" s="717" t="s">
        <v>646</v>
      </c>
      <c r="L67" s="720">
        <v>121.93999999999996</v>
      </c>
      <c r="M67" s="720">
        <v>2</v>
      </c>
      <c r="N67" s="721">
        <v>243.87999999999991</v>
      </c>
    </row>
    <row r="68" spans="1:14" ht="14.45" customHeight="1" x14ac:dyDescent="0.2">
      <c r="A68" s="715" t="s">
        <v>518</v>
      </c>
      <c r="B68" s="716" t="s">
        <v>519</v>
      </c>
      <c r="C68" s="717" t="s">
        <v>531</v>
      </c>
      <c r="D68" s="718" t="s">
        <v>532</v>
      </c>
      <c r="E68" s="719">
        <v>50113001</v>
      </c>
      <c r="F68" s="718" t="s">
        <v>536</v>
      </c>
      <c r="G68" s="717" t="s">
        <v>537</v>
      </c>
      <c r="H68" s="717">
        <v>234203</v>
      </c>
      <c r="I68" s="717">
        <v>234203</v>
      </c>
      <c r="J68" s="717" t="s">
        <v>647</v>
      </c>
      <c r="K68" s="717" t="s">
        <v>648</v>
      </c>
      <c r="L68" s="720">
        <v>82.79</v>
      </c>
      <c r="M68" s="720">
        <v>2</v>
      </c>
      <c r="N68" s="721">
        <v>165.58</v>
      </c>
    </row>
    <row r="69" spans="1:14" ht="14.45" customHeight="1" x14ac:dyDescent="0.2">
      <c r="A69" s="715" t="s">
        <v>518</v>
      </c>
      <c r="B69" s="716" t="s">
        <v>519</v>
      </c>
      <c r="C69" s="717" t="s">
        <v>531</v>
      </c>
      <c r="D69" s="718" t="s">
        <v>532</v>
      </c>
      <c r="E69" s="719">
        <v>50113001</v>
      </c>
      <c r="F69" s="718" t="s">
        <v>536</v>
      </c>
      <c r="G69" s="717" t="s">
        <v>537</v>
      </c>
      <c r="H69" s="717">
        <v>212884</v>
      </c>
      <c r="I69" s="717">
        <v>212884</v>
      </c>
      <c r="J69" s="717" t="s">
        <v>649</v>
      </c>
      <c r="K69" s="717" t="s">
        <v>650</v>
      </c>
      <c r="L69" s="720">
        <v>47.282629558541295</v>
      </c>
      <c r="M69" s="720">
        <v>521</v>
      </c>
      <c r="N69" s="721">
        <v>24634.250000000015</v>
      </c>
    </row>
    <row r="70" spans="1:14" ht="14.45" customHeight="1" x14ac:dyDescent="0.2">
      <c r="A70" s="715" t="s">
        <v>518</v>
      </c>
      <c r="B70" s="716" t="s">
        <v>519</v>
      </c>
      <c r="C70" s="717" t="s">
        <v>531</v>
      </c>
      <c r="D70" s="718" t="s">
        <v>532</v>
      </c>
      <c r="E70" s="719">
        <v>50113001</v>
      </c>
      <c r="F70" s="718" t="s">
        <v>536</v>
      </c>
      <c r="G70" s="717" t="s">
        <v>537</v>
      </c>
      <c r="H70" s="717">
        <v>199466</v>
      </c>
      <c r="I70" s="717">
        <v>199466</v>
      </c>
      <c r="J70" s="717" t="s">
        <v>651</v>
      </c>
      <c r="K70" s="717" t="s">
        <v>652</v>
      </c>
      <c r="L70" s="720">
        <v>112.48800000000003</v>
      </c>
      <c r="M70" s="720">
        <v>5</v>
      </c>
      <c r="N70" s="721">
        <v>562.44000000000017</v>
      </c>
    </row>
    <row r="71" spans="1:14" ht="14.45" customHeight="1" x14ac:dyDescent="0.2">
      <c r="A71" s="715" t="s">
        <v>518</v>
      </c>
      <c r="B71" s="716" t="s">
        <v>519</v>
      </c>
      <c r="C71" s="717" t="s">
        <v>531</v>
      </c>
      <c r="D71" s="718" t="s">
        <v>532</v>
      </c>
      <c r="E71" s="719">
        <v>50113001</v>
      </c>
      <c r="F71" s="718" t="s">
        <v>536</v>
      </c>
      <c r="G71" s="717" t="s">
        <v>537</v>
      </c>
      <c r="H71" s="717">
        <v>225146</v>
      </c>
      <c r="I71" s="717">
        <v>225146</v>
      </c>
      <c r="J71" s="717" t="s">
        <v>653</v>
      </c>
      <c r="K71" s="717" t="s">
        <v>654</v>
      </c>
      <c r="L71" s="720">
        <v>75.680000000000007</v>
      </c>
      <c r="M71" s="720">
        <v>1</v>
      </c>
      <c r="N71" s="721">
        <v>75.680000000000007</v>
      </c>
    </row>
    <row r="72" spans="1:14" ht="14.45" customHeight="1" x14ac:dyDescent="0.2">
      <c r="A72" s="715" t="s">
        <v>518</v>
      </c>
      <c r="B72" s="716" t="s">
        <v>519</v>
      </c>
      <c r="C72" s="717" t="s">
        <v>531</v>
      </c>
      <c r="D72" s="718" t="s">
        <v>532</v>
      </c>
      <c r="E72" s="719">
        <v>50113001</v>
      </c>
      <c r="F72" s="718" t="s">
        <v>536</v>
      </c>
      <c r="G72" s="717" t="s">
        <v>537</v>
      </c>
      <c r="H72" s="717">
        <v>147515</v>
      </c>
      <c r="I72" s="717">
        <v>47515</v>
      </c>
      <c r="J72" s="717" t="s">
        <v>655</v>
      </c>
      <c r="K72" s="717" t="s">
        <v>656</v>
      </c>
      <c r="L72" s="720">
        <v>150.16000000000003</v>
      </c>
      <c r="M72" s="720">
        <v>1</v>
      </c>
      <c r="N72" s="721">
        <v>150.16000000000003</v>
      </c>
    </row>
    <row r="73" spans="1:14" ht="14.45" customHeight="1" x14ac:dyDescent="0.2">
      <c r="A73" s="715" t="s">
        <v>518</v>
      </c>
      <c r="B73" s="716" t="s">
        <v>519</v>
      </c>
      <c r="C73" s="717" t="s">
        <v>531</v>
      </c>
      <c r="D73" s="718" t="s">
        <v>532</v>
      </c>
      <c r="E73" s="719">
        <v>50113001</v>
      </c>
      <c r="F73" s="718" t="s">
        <v>536</v>
      </c>
      <c r="G73" s="717" t="s">
        <v>537</v>
      </c>
      <c r="H73" s="717">
        <v>100407</v>
      </c>
      <c r="I73" s="717">
        <v>407</v>
      </c>
      <c r="J73" s="717" t="s">
        <v>657</v>
      </c>
      <c r="K73" s="717" t="s">
        <v>658</v>
      </c>
      <c r="L73" s="720">
        <v>185.14279069767446</v>
      </c>
      <c r="M73" s="720">
        <v>172</v>
      </c>
      <c r="N73" s="721">
        <v>31844.560000000009</v>
      </c>
    </row>
    <row r="74" spans="1:14" ht="14.45" customHeight="1" x14ac:dyDescent="0.2">
      <c r="A74" s="715" t="s">
        <v>518</v>
      </c>
      <c r="B74" s="716" t="s">
        <v>519</v>
      </c>
      <c r="C74" s="717" t="s">
        <v>531</v>
      </c>
      <c r="D74" s="718" t="s">
        <v>532</v>
      </c>
      <c r="E74" s="719">
        <v>50113001</v>
      </c>
      <c r="F74" s="718" t="s">
        <v>536</v>
      </c>
      <c r="G74" s="717" t="s">
        <v>537</v>
      </c>
      <c r="H74" s="717">
        <v>132101</v>
      </c>
      <c r="I74" s="717">
        <v>132101</v>
      </c>
      <c r="J74" s="717" t="s">
        <v>659</v>
      </c>
      <c r="K74" s="717" t="s">
        <v>660</v>
      </c>
      <c r="L74" s="720">
        <v>110.99999999999999</v>
      </c>
      <c r="M74" s="720">
        <v>8</v>
      </c>
      <c r="N74" s="721">
        <v>887.99999999999989</v>
      </c>
    </row>
    <row r="75" spans="1:14" ht="14.45" customHeight="1" x14ac:dyDescent="0.2">
      <c r="A75" s="715" t="s">
        <v>518</v>
      </c>
      <c r="B75" s="716" t="s">
        <v>519</v>
      </c>
      <c r="C75" s="717" t="s">
        <v>531</v>
      </c>
      <c r="D75" s="718" t="s">
        <v>532</v>
      </c>
      <c r="E75" s="719">
        <v>50113001</v>
      </c>
      <c r="F75" s="718" t="s">
        <v>536</v>
      </c>
      <c r="G75" s="717" t="s">
        <v>537</v>
      </c>
      <c r="H75" s="717">
        <v>149317</v>
      </c>
      <c r="I75" s="717">
        <v>49317</v>
      </c>
      <c r="J75" s="717" t="s">
        <v>661</v>
      </c>
      <c r="K75" s="717" t="s">
        <v>662</v>
      </c>
      <c r="L75" s="720">
        <v>299.00132998852075</v>
      </c>
      <c r="M75" s="720">
        <v>18</v>
      </c>
      <c r="N75" s="721">
        <v>5382.0239397933738</v>
      </c>
    </row>
    <row r="76" spans="1:14" ht="14.45" customHeight="1" x14ac:dyDescent="0.2">
      <c r="A76" s="715" t="s">
        <v>518</v>
      </c>
      <c r="B76" s="716" t="s">
        <v>519</v>
      </c>
      <c r="C76" s="717" t="s">
        <v>531</v>
      </c>
      <c r="D76" s="718" t="s">
        <v>532</v>
      </c>
      <c r="E76" s="719">
        <v>50113001</v>
      </c>
      <c r="F76" s="718" t="s">
        <v>536</v>
      </c>
      <c r="G76" s="717" t="s">
        <v>537</v>
      </c>
      <c r="H76" s="717">
        <v>137275</v>
      </c>
      <c r="I76" s="717">
        <v>137275</v>
      </c>
      <c r="J76" s="717" t="s">
        <v>663</v>
      </c>
      <c r="K76" s="717" t="s">
        <v>664</v>
      </c>
      <c r="L76" s="720">
        <v>1055.27</v>
      </c>
      <c r="M76" s="720">
        <v>2</v>
      </c>
      <c r="N76" s="721">
        <v>2110.54</v>
      </c>
    </row>
    <row r="77" spans="1:14" ht="14.45" customHeight="1" x14ac:dyDescent="0.2">
      <c r="A77" s="715" t="s">
        <v>518</v>
      </c>
      <c r="B77" s="716" t="s">
        <v>519</v>
      </c>
      <c r="C77" s="717" t="s">
        <v>531</v>
      </c>
      <c r="D77" s="718" t="s">
        <v>532</v>
      </c>
      <c r="E77" s="719">
        <v>50113001</v>
      </c>
      <c r="F77" s="718" t="s">
        <v>536</v>
      </c>
      <c r="G77" s="717" t="s">
        <v>537</v>
      </c>
      <c r="H77" s="717">
        <v>187814</v>
      </c>
      <c r="I77" s="717">
        <v>87814</v>
      </c>
      <c r="J77" s="717" t="s">
        <v>665</v>
      </c>
      <c r="K77" s="717" t="s">
        <v>666</v>
      </c>
      <c r="L77" s="720">
        <v>535.65999999999985</v>
      </c>
      <c r="M77" s="720">
        <v>1</v>
      </c>
      <c r="N77" s="721">
        <v>535.65999999999985</v>
      </c>
    </row>
    <row r="78" spans="1:14" ht="14.45" customHeight="1" x14ac:dyDescent="0.2">
      <c r="A78" s="715" t="s">
        <v>518</v>
      </c>
      <c r="B78" s="716" t="s">
        <v>519</v>
      </c>
      <c r="C78" s="717" t="s">
        <v>531</v>
      </c>
      <c r="D78" s="718" t="s">
        <v>532</v>
      </c>
      <c r="E78" s="719">
        <v>50113001</v>
      </c>
      <c r="F78" s="718" t="s">
        <v>536</v>
      </c>
      <c r="G78" s="717" t="s">
        <v>537</v>
      </c>
      <c r="H78" s="717">
        <v>218171</v>
      </c>
      <c r="I78" s="717">
        <v>218171</v>
      </c>
      <c r="J78" s="717" t="s">
        <v>667</v>
      </c>
      <c r="K78" s="717" t="s">
        <v>668</v>
      </c>
      <c r="L78" s="720">
        <v>140.12000000000003</v>
      </c>
      <c r="M78" s="720">
        <v>1</v>
      </c>
      <c r="N78" s="721">
        <v>140.12000000000003</v>
      </c>
    </row>
    <row r="79" spans="1:14" ht="14.45" customHeight="1" x14ac:dyDescent="0.2">
      <c r="A79" s="715" t="s">
        <v>518</v>
      </c>
      <c r="B79" s="716" t="s">
        <v>519</v>
      </c>
      <c r="C79" s="717" t="s">
        <v>531</v>
      </c>
      <c r="D79" s="718" t="s">
        <v>532</v>
      </c>
      <c r="E79" s="719">
        <v>50113001</v>
      </c>
      <c r="F79" s="718" t="s">
        <v>536</v>
      </c>
      <c r="G79" s="717" t="s">
        <v>537</v>
      </c>
      <c r="H79" s="717">
        <v>102132</v>
      </c>
      <c r="I79" s="717">
        <v>2132</v>
      </c>
      <c r="J79" s="717" t="s">
        <v>669</v>
      </c>
      <c r="K79" s="717" t="s">
        <v>670</v>
      </c>
      <c r="L79" s="720">
        <v>153.31</v>
      </c>
      <c r="M79" s="720">
        <v>3</v>
      </c>
      <c r="N79" s="721">
        <v>459.93</v>
      </c>
    </row>
    <row r="80" spans="1:14" ht="14.45" customHeight="1" x14ac:dyDescent="0.2">
      <c r="A80" s="715" t="s">
        <v>518</v>
      </c>
      <c r="B80" s="716" t="s">
        <v>519</v>
      </c>
      <c r="C80" s="717" t="s">
        <v>531</v>
      </c>
      <c r="D80" s="718" t="s">
        <v>532</v>
      </c>
      <c r="E80" s="719">
        <v>50113001</v>
      </c>
      <c r="F80" s="718" t="s">
        <v>536</v>
      </c>
      <c r="G80" s="717" t="s">
        <v>537</v>
      </c>
      <c r="H80" s="717">
        <v>171547</v>
      </c>
      <c r="I80" s="717">
        <v>171547</v>
      </c>
      <c r="J80" s="717" t="s">
        <v>671</v>
      </c>
      <c r="K80" s="717" t="s">
        <v>672</v>
      </c>
      <c r="L80" s="720">
        <v>54.900000000000013</v>
      </c>
      <c r="M80" s="720">
        <v>1</v>
      </c>
      <c r="N80" s="721">
        <v>54.900000000000013</v>
      </c>
    </row>
    <row r="81" spans="1:14" ht="14.45" customHeight="1" x14ac:dyDescent="0.2">
      <c r="A81" s="715" t="s">
        <v>518</v>
      </c>
      <c r="B81" s="716" t="s">
        <v>519</v>
      </c>
      <c r="C81" s="717" t="s">
        <v>531</v>
      </c>
      <c r="D81" s="718" t="s">
        <v>532</v>
      </c>
      <c r="E81" s="719">
        <v>50113001</v>
      </c>
      <c r="F81" s="718" t="s">
        <v>536</v>
      </c>
      <c r="G81" s="717" t="s">
        <v>537</v>
      </c>
      <c r="H81" s="717">
        <v>843217</v>
      </c>
      <c r="I81" s="717">
        <v>9999999</v>
      </c>
      <c r="J81" s="717" t="s">
        <v>673</v>
      </c>
      <c r="K81" s="717" t="s">
        <v>674</v>
      </c>
      <c r="L81" s="720">
        <v>198.65933333333331</v>
      </c>
      <c r="M81" s="720">
        <v>30</v>
      </c>
      <c r="N81" s="721">
        <v>5959.7799999999988</v>
      </c>
    </row>
    <row r="82" spans="1:14" ht="14.45" customHeight="1" x14ac:dyDescent="0.2">
      <c r="A82" s="715" t="s">
        <v>518</v>
      </c>
      <c r="B82" s="716" t="s">
        <v>519</v>
      </c>
      <c r="C82" s="717" t="s">
        <v>531</v>
      </c>
      <c r="D82" s="718" t="s">
        <v>532</v>
      </c>
      <c r="E82" s="719">
        <v>50113001</v>
      </c>
      <c r="F82" s="718" t="s">
        <v>536</v>
      </c>
      <c r="G82" s="717" t="s">
        <v>537</v>
      </c>
      <c r="H82" s="717">
        <v>230053</v>
      </c>
      <c r="I82" s="717">
        <v>230053</v>
      </c>
      <c r="J82" s="717" t="s">
        <v>675</v>
      </c>
      <c r="K82" s="717" t="s">
        <v>676</v>
      </c>
      <c r="L82" s="720">
        <v>126.34</v>
      </c>
      <c r="M82" s="720">
        <v>1</v>
      </c>
      <c r="N82" s="721">
        <v>126.34</v>
      </c>
    </row>
    <row r="83" spans="1:14" ht="14.45" customHeight="1" x14ac:dyDescent="0.2">
      <c r="A83" s="715" t="s">
        <v>518</v>
      </c>
      <c r="B83" s="716" t="s">
        <v>519</v>
      </c>
      <c r="C83" s="717" t="s">
        <v>531</v>
      </c>
      <c r="D83" s="718" t="s">
        <v>532</v>
      </c>
      <c r="E83" s="719">
        <v>50113001</v>
      </c>
      <c r="F83" s="718" t="s">
        <v>536</v>
      </c>
      <c r="G83" s="717" t="s">
        <v>537</v>
      </c>
      <c r="H83" s="717">
        <v>150660</v>
      </c>
      <c r="I83" s="717">
        <v>150660</v>
      </c>
      <c r="J83" s="717" t="s">
        <v>677</v>
      </c>
      <c r="K83" s="717" t="s">
        <v>678</v>
      </c>
      <c r="L83" s="720">
        <v>791.08611111111111</v>
      </c>
      <c r="M83" s="720">
        <v>18</v>
      </c>
      <c r="N83" s="721">
        <v>14239.55</v>
      </c>
    </row>
    <row r="84" spans="1:14" ht="14.45" customHeight="1" x14ac:dyDescent="0.2">
      <c r="A84" s="715" t="s">
        <v>518</v>
      </c>
      <c r="B84" s="716" t="s">
        <v>519</v>
      </c>
      <c r="C84" s="717" t="s">
        <v>531</v>
      </c>
      <c r="D84" s="718" t="s">
        <v>532</v>
      </c>
      <c r="E84" s="719">
        <v>50113001</v>
      </c>
      <c r="F84" s="718" t="s">
        <v>536</v>
      </c>
      <c r="G84" s="717" t="s">
        <v>537</v>
      </c>
      <c r="H84" s="717">
        <v>196974</v>
      </c>
      <c r="I84" s="717">
        <v>187983</v>
      </c>
      <c r="J84" s="717" t="s">
        <v>679</v>
      </c>
      <c r="K84" s="717" t="s">
        <v>680</v>
      </c>
      <c r="L84" s="720">
        <v>49.86</v>
      </c>
      <c r="M84" s="720">
        <v>2</v>
      </c>
      <c r="N84" s="721">
        <v>99.72</v>
      </c>
    </row>
    <row r="85" spans="1:14" ht="14.45" customHeight="1" x14ac:dyDescent="0.2">
      <c r="A85" s="715" t="s">
        <v>518</v>
      </c>
      <c r="B85" s="716" t="s">
        <v>519</v>
      </c>
      <c r="C85" s="717" t="s">
        <v>531</v>
      </c>
      <c r="D85" s="718" t="s">
        <v>532</v>
      </c>
      <c r="E85" s="719">
        <v>50113001</v>
      </c>
      <c r="F85" s="718" t="s">
        <v>536</v>
      </c>
      <c r="G85" s="717" t="s">
        <v>537</v>
      </c>
      <c r="H85" s="717">
        <v>846446</v>
      </c>
      <c r="I85" s="717">
        <v>124343</v>
      </c>
      <c r="J85" s="717" t="s">
        <v>681</v>
      </c>
      <c r="K85" s="717" t="s">
        <v>682</v>
      </c>
      <c r="L85" s="720">
        <v>30.600000000000005</v>
      </c>
      <c r="M85" s="720">
        <v>1</v>
      </c>
      <c r="N85" s="721">
        <v>30.600000000000005</v>
      </c>
    </row>
    <row r="86" spans="1:14" ht="14.45" customHeight="1" x14ac:dyDescent="0.2">
      <c r="A86" s="715" t="s">
        <v>518</v>
      </c>
      <c r="B86" s="716" t="s">
        <v>519</v>
      </c>
      <c r="C86" s="717" t="s">
        <v>531</v>
      </c>
      <c r="D86" s="718" t="s">
        <v>532</v>
      </c>
      <c r="E86" s="719">
        <v>50113001</v>
      </c>
      <c r="F86" s="718" t="s">
        <v>536</v>
      </c>
      <c r="G86" s="717" t="s">
        <v>537</v>
      </c>
      <c r="H86" s="717">
        <v>848477</v>
      </c>
      <c r="I86" s="717">
        <v>124346</v>
      </c>
      <c r="J86" s="717" t="s">
        <v>681</v>
      </c>
      <c r="K86" s="717" t="s">
        <v>683</v>
      </c>
      <c r="L86" s="720">
        <v>131.22000000000003</v>
      </c>
      <c r="M86" s="720">
        <v>3</v>
      </c>
      <c r="N86" s="721">
        <v>393.66000000000008</v>
      </c>
    </row>
    <row r="87" spans="1:14" ht="14.45" customHeight="1" x14ac:dyDescent="0.2">
      <c r="A87" s="715" t="s">
        <v>518</v>
      </c>
      <c r="B87" s="716" t="s">
        <v>519</v>
      </c>
      <c r="C87" s="717" t="s">
        <v>531</v>
      </c>
      <c r="D87" s="718" t="s">
        <v>532</v>
      </c>
      <c r="E87" s="719">
        <v>50113001</v>
      </c>
      <c r="F87" s="718" t="s">
        <v>536</v>
      </c>
      <c r="G87" s="717" t="s">
        <v>537</v>
      </c>
      <c r="H87" s="717">
        <v>225143</v>
      </c>
      <c r="I87" s="717">
        <v>225143</v>
      </c>
      <c r="J87" s="717" t="s">
        <v>684</v>
      </c>
      <c r="K87" s="717" t="s">
        <v>685</v>
      </c>
      <c r="L87" s="720">
        <v>75.254999999999995</v>
      </c>
      <c r="M87" s="720">
        <v>2</v>
      </c>
      <c r="N87" s="721">
        <v>150.51</v>
      </c>
    </row>
    <row r="88" spans="1:14" ht="14.45" customHeight="1" x14ac:dyDescent="0.2">
      <c r="A88" s="715" t="s">
        <v>518</v>
      </c>
      <c r="B88" s="716" t="s">
        <v>519</v>
      </c>
      <c r="C88" s="717" t="s">
        <v>531</v>
      </c>
      <c r="D88" s="718" t="s">
        <v>532</v>
      </c>
      <c r="E88" s="719">
        <v>50113001</v>
      </c>
      <c r="F88" s="718" t="s">
        <v>536</v>
      </c>
      <c r="G88" s="717" t="s">
        <v>537</v>
      </c>
      <c r="H88" s="717">
        <v>230417</v>
      </c>
      <c r="I88" s="717">
        <v>230417</v>
      </c>
      <c r="J88" s="717" t="s">
        <v>686</v>
      </c>
      <c r="K88" s="717" t="s">
        <v>687</v>
      </c>
      <c r="L88" s="720">
        <v>53.99285714285714</v>
      </c>
      <c r="M88" s="720">
        <v>7</v>
      </c>
      <c r="N88" s="721">
        <v>377.95</v>
      </c>
    </row>
    <row r="89" spans="1:14" ht="14.45" customHeight="1" x14ac:dyDescent="0.2">
      <c r="A89" s="715" t="s">
        <v>518</v>
      </c>
      <c r="B89" s="716" t="s">
        <v>519</v>
      </c>
      <c r="C89" s="717" t="s">
        <v>531</v>
      </c>
      <c r="D89" s="718" t="s">
        <v>532</v>
      </c>
      <c r="E89" s="719">
        <v>50113001</v>
      </c>
      <c r="F89" s="718" t="s">
        <v>536</v>
      </c>
      <c r="G89" s="717" t="s">
        <v>537</v>
      </c>
      <c r="H89" s="717">
        <v>230409</v>
      </c>
      <c r="I89" s="717">
        <v>230409</v>
      </c>
      <c r="J89" s="717" t="s">
        <v>688</v>
      </c>
      <c r="K89" s="717" t="s">
        <v>689</v>
      </c>
      <c r="L89" s="720">
        <v>19.82</v>
      </c>
      <c r="M89" s="720">
        <v>1</v>
      </c>
      <c r="N89" s="721">
        <v>19.82</v>
      </c>
    </row>
    <row r="90" spans="1:14" ht="14.45" customHeight="1" x14ac:dyDescent="0.2">
      <c r="A90" s="715" t="s">
        <v>518</v>
      </c>
      <c r="B90" s="716" t="s">
        <v>519</v>
      </c>
      <c r="C90" s="717" t="s">
        <v>531</v>
      </c>
      <c r="D90" s="718" t="s">
        <v>532</v>
      </c>
      <c r="E90" s="719">
        <v>50113001</v>
      </c>
      <c r="F90" s="718" t="s">
        <v>536</v>
      </c>
      <c r="G90" s="717" t="s">
        <v>537</v>
      </c>
      <c r="H90" s="717">
        <v>230415</v>
      </c>
      <c r="I90" s="717">
        <v>230415</v>
      </c>
      <c r="J90" s="717" t="s">
        <v>690</v>
      </c>
      <c r="K90" s="717" t="s">
        <v>691</v>
      </c>
      <c r="L90" s="720">
        <v>27.096000000000004</v>
      </c>
      <c r="M90" s="720">
        <v>5</v>
      </c>
      <c r="N90" s="721">
        <v>135.48000000000002</v>
      </c>
    </row>
    <row r="91" spans="1:14" ht="14.45" customHeight="1" x14ac:dyDescent="0.2">
      <c r="A91" s="715" t="s">
        <v>518</v>
      </c>
      <c r="B91" s="716" t="s">
        <v>519</v>
      </c>
      <c r="C91" s="717" t="s">
        <v>531</v>
      </c>
      <c r="D91" s="718" t="s">
        <v>532</v>
      </c>
      <c r="E91" s="719">
        <v>50113001</v>
      </c>
      <c r="F91" s="718" t="s">
        <v>536</v>
      </c>
      <c r="G91" s="717" t="s">
        <v>537</v>
      </c>
      <c r="H91" s="717">
        <v>207940</v>
      </c>
      <c r="I91" s="717">
        <v>207940</v>
      </c>
      <c r="J91" s="717" t="s">
        <v>692</v>
      </c>
      <c r="K91" s="717" t="s">
        <v>693</v>
      </c>
      <c r="L91" s="720">
        <v>73.090000000000018</v>
      </c>
      <c r="M91" s="720">
        <v>6</v>
      </c>
      <c r="N91" s="721">
        <v>438.54000000000008</v>
      </c>
    </row>
    <row r="92" spans="1:14" ht="14.45" customHeight="1" x14ac:dyDescent="0.2">
      <c r="A92" s="715" t="s">
        <v>518</v>
      </c>
      <c r="B92" s="716" t="s">
        <v>519</v>
      </c>
      <c r="C92" s="717" t="s">
        <v>531</v>
      </c>
      <c r="D92" s="718" t="s">
        <v>532</v>
      </c>
      <c r="E92" s="719">
        <v>50113001</v>
      </c>
      <c r="F92" s="718" t="s">
        <v>536</v>
      </c>
      <c r="G92" s="717" t="s">
        <v>537</v>
      </c>
      <c r="H92" s="717">
        <v>849382</v>
      </c>
      <c r="I92" s="717">
        <v>119697</v>
      </c>
      <c r="J92" s="717" t="s">
        <v>694</v>
      </c>
      <c r="K92" s="717" t="s">
        <v>695</v>
      </c>
      <c r="L92" s="720">
        <v>172.11</v>
      </c>
      <c r="M92" s="720">
        <v>2</v>
      </c>
      <c r="N92" s="721">
        <v>344.22</v>
      </c>
    </row>
    <row r="93" spans="1:14" ht="14.45" customHeight="1" x14ac:dyDescent="0.2">
      <c r="A93" s="715" t="s">
        <v>518</v>
      </c>
      <c r="B93" s="716" t="s">
        <v>519</v>
      </c>
      <c r="C93" s="717" t="s">
        <v>531</v>
      </c>
      <c r="D93" s="718" t="s">
        <v>532</v>
      </c>
      <c r="E93" s="719">
        <v>50113001</v>
      </c>
      <c r="F93" s="718" t="s">
        <v>536</v>
      </c>
      <c r="G93" s="717" t="s">
        <v>537</v>
      </c>
      <c r="H93" s="717">
        <v>140921</v>
      </c>
      <c r="I93" s="717">
        <v>200408</v>
      </c>
      <c r="J93" s="717" t="s">
        <v>696</v>
      </c>
      <c r="K93" s="717" t="s">
        <v>697</v>
      </c>
      <c r="L93" s="720">
        <v>224.4</v>
      </c>
      <c r="M93" s="720">
        <v>1</v>
      </c>
      <c r="N93" s="721">
        <v>224.4</v>
      </c>
    </row>
    <row r="94" spans="1:14" ht="14.45" customHeight="1" x14ac:dyDescent="0.2">
      <c r="A94" s="715" t="s">
        <v>518</v>
      </c>
      <c r="B94" s="716" t="s">
        <v>519</v>
      </c>
      <c r="C94" s="717" t="s">
        <v>531</v>
      </c>
      <c r="D94" s="718" t="s">
        <v>532</v>
      </c>
      <c r="E94" s="719">
        <v>50113001</v>
      </c>
      <c r="F94" s="718" t="s">
        <v>536</v>
      </c>
      <c r="G94" s="717" t="s">
        <v>537</v>
      </c>
      <c r="H94" s="717">
        <v>103822</v>
      </c>
      <c r="I94" s="717">
        <v>3822</v>
      </c>
      <c r="J94" s="717" t="s">
        <v>698</v>
      </c>
      <c r="K94" s="717" t="s">
        <v>699</v>
      </c>
      <c r="L94" s="720">
        <v>24.370000000000008</v>
      </c>
      <c r="M94" s="720">
        <v>1</v>
      </c>
      <c r="N94" s="721">
        <v>24.370000000000008</v>
      </c>
    </row>
    <row r="95" spans="1:14" ht="14.45" customHeight="1" x14ac:dyDescent="0.2">
      <c r="A95" s="715" t="s">
        <v>518</v>
      </c>
      <c r="B95" s="716" t="s">
        <v>519</v>
      </c>
      <c r="C95" s="717" t="s">
        <v>531</v>
      </c>
      <c r="D95" s="718" t="s">
        <v>532</v>
      </c>
      <c r="E95" s="719">
        <v>50113001</v>
      </c>
      <c r="F95" s="718" t="s">
        <v>536</v>
      </c>
      <c r="G95" s="717" t="s">
        <v>537</v>
      </c>
      <c r="H95" s="717">
        <v>214526</v>
      </c>
      <c r="I95" s="717">
        <v>214526</v>
      </c>
      <c r="J95" s="717" t="s">
        <v>700</v>
      </c>
      <c r="K95" s="717" t="s">
        <v>701</v>
      </c>
      <c r="L95" s="720">
        <v>85.698333333333323</v>
      </c>
      <c r="M95" s="720">
        <v>6</v>
      </c>
      <c r="N95" s="721">
        <v>514.18999999999994</v>
      </c>
    </row>
    <row r="96" spans="1:14" ht="14.45" customHeight="1" x14ac:dyDescent="0.2">
      <c r="A96" s="715" t="s">
        <v>518</v>
      </c>
      <c r="B96" s="716" t="s">
        <v>519</v>
      </c>
      <c r="C96" s="717" t="s">
        <v>531</v>
      </c>
      <c r="D96" s="718" t="s">
        <v>532</v>
      </c>
      <c r="E96" s="719">
        <v>50113001</v>
      </c>
      <c r="F96" s="718" t="s">
        <v>536</v>
      </c>
      <c r="G96" s="717" t="s">
        <v>552</v>
      </c>
      <c r="H96" s="717">
        <v>214435</v>
      </c>
      <c r="I96" s="717">
        <v>214435</v>
      </c>
      <c r="J96" s="717" t="s">
        <v>702</v>
      </c>
      <c r="K96" s="717" t="s">
        <v>703</v>
      </c>
      <c r="L96" s="720">
        <v>42.879999999999995</v>
      </c>
      <c r="M96" s="720">
        <v>2</v>
      </c>
      <c r="N96" s="721">
        <v>85.759999999999991</v>
      </c>
    </row>
    <row r="97" spans="1:14" ht="14.45" customHeight="1" x14ac:dyDescent="0.2">
      <c r="A97" s="715" t="s">
        <v>518</v>
      </c>
      <c r="B97" s="716" t="s">
        <v>519</v>
      </c>
      <c r="C97" s="717" t="s">
        <v>531</v>
      </c>
      <c r="D97" s="718" t="s">
        <v>532</v>
      </c>
      <c r="E97" s="719">
        <v>50113001</v>
      </c>
      <c r="F97" s="718" t="s">
        <v>536</v>
      </c>
      <c r="G97" s="717" t="s">
        <v>552</v>
      </c>
      <c r="H97" s="717">
        <v>214427</v>
      </c>
      <c r="I97" s="717">
        <v>214427</v>
      </c>
      <c r="J97" s="717" t="s">
        <v>704</v>
      </c>
      <c r="K97" s="717" t="s">
        <v>705</v>
      </c>
      <c r="L97" s="720">
        <v>16.579601449275362</v>
      </c>
      <c r="M97" s="720">
        <v>2760</v>
      </c>
      <c r="N97" s="721">
        <v>45759.7</v>
      </c>
    </row>
    <row r="98" spans="1:14" ht="14.45" customHeight="1" x14ac:dyDescent="0.2">
      <c r="A98" s="715" t="s">
        <v>518</v>
      </c>
      <c r="B98" s="716" t="s">
        <v>519</v>
      </c>
      <c r="C98" s="717" t="s">
        <v>531</v>
      </c>
      <c r="D98" s="718" t="s">
        <v>532</v>
      </c>
      <c r="E98" s="719">
        <v>50113001</v>
      </c>
      <c r="F98" s="718" t="s">
        <v>536</v>
      </c>
      <c r="G98" s="717" t="s">
        <v>552</v>
      </c>
      <c r="H98" s="717">
        <v>848765</v>
      </c>
      <c r="I98" s="717">
        <v>107938</v>
      </c>
      <c r="J98" s="717" t="s">
        <v>706</v>
      </c>
      <c r="K98" s="717" t="s">
        <v>707</v>
      </c>
      <c r="L98" s="720">
        <v>128.36227272727277</v>
      </c>
      <c r="M98" s="720">
        <v>176</v>
      </c>
      <c r="N98" s="721">
        <v>22591.760000000006</v>
      </c>
    </row>
    <row r="99" spans="1:14" ht="14.45" customHeight="1" x14ac:dyDescent="0.2">
      <c r="A99" s="715" t="s">
        <v>518</v>
      </c>
      <c r="B99" s="716" t="s">
        <v>519</v>
      </c>
      <c r="C99" s="717" t="s">
        <v>531</v>
      </c>
      <c r="D99" s="718" t="s">
        <v>532</v>
      </c>
      <c r="E99" s="719">
        <v>50113001</v>
      </c>
      <c r="F99" s="718" t="s">
        <v>536</v>
      </c>
      <c r="G99" s="717" t="s">
        <v>552</v>
      </c>
      <c r="H99" s="717">
        <v>113768</v>
      </c>
      <c r="I99" s="717">
        <v>13768</v>
      </c>
      <c r="J99" s="717" t="s">
        <v>706</v>
      </c>
      <c r="K99" s="717" t="s">
        <v>708</v>
      </c>
      <c r="L99" s="720">
        <v>89.31</v>
      </c>
      <c r="M99" s="720">
        <v>1</v>
      </c>
      <c r="N99" s="721">
        <v>89.31</v>
      </c>
    </row>
    <row r="100" spans="1:14" ht="14.45" customHeight="1" x14ac:dyDescent="0.2">
      <c r="A100" s="715" t="s">
        <v>518</v>
      </c>
      <c r="B100" s="716" t="s">
        <v>519</v>
      </c>
      <c r="C100" s="717" t="s">
        <v>531</v>
      </c>
      <c r="D100" s="718" t="s">
        <v>532</v>
      </c>
      <c r="E100" s="719">
        <v>50113001</v>
      </c>
      <c r="F100" s="718" t="s">
        <v>536</v>
      </c>
      <c r="G100" s="717" t="s">
        <v>537</v>
      </c>
      <c r="H100" s="717">
        <v>121856</v>
      </c>
      <c r="I100" s="717">
        <v>21856</v>
      </c>
      <c r="J100" s="717" t="s">
        <v>709</v>
      </c>
      <c r="K100" s="717" t="s">
        <v>710</v>
      </c>
      <c r="L100" s="720">
        <v>26.83</v>
      </c>
      <c r="M100" s="720">
        <v>1</v>
      </c>
      <c r="N100" s="721">
        <v>26.83</v>
      </c>
    </row>
    <row r="101" spans="1:14" ht="14.45" customHeight="1" x14ac:dyDescent="0.2">
      <c r="A101" s="715" t="s">
        <v>518</v>
      </c>
      <c r="B101" s="716" t="s">
        <v>519</v>
      </c>
      <c r="C101" s="717" t="s">
        <v>531</v>
      </c>
      <c r="D101" s="718" t="s">
        <v>532</v>
      </c>
      <c r="E101" s="719">
        <v>50113001</v>
      </c>
      <c r="F101" s="718" t="s">
        <v>536</v>
      </c>
      <c r="G101" s="717" t="s">
        <v>537</v>
      </c>
      <c r="H101" s="717">
        <v>216471</v>
      </c>
      <c r="I101" s="717">
        <v>216471</v>
      </c>
      <c r="J101" s="717" t="s">
        <v>711</v>
      </c>
      <c r="K101" s="717" t="s">
        <v>712</v>
      </c>
      <c r="L101" s="720">
        <v>130.1399999999999</v>
      </c>
      <c r="M101" s="720">
        <v>1</v>
      </c>
      <c r="N101" s="721">
        <v>130.1399999999999</v>
      </c>
    </row>
    <row r="102" spans="1:14" ht="14.45" customHeight="1" x14ac:dyDescent="0.2">
      <c r="A102" s="715" t="s">
        <v>518</v>
      </c>
      <c r="B102" s="716" t="s">
        <v>519</v>
      </c>
      <c r="C102" s="717" t="s">
        <v>531</v>
      </c>
      <c r="D102" s="718" t="s">
        <v>532</v>
      </c>
      <c r="E102" s="719">
        <v>50113001</v>
      </c>
      <c r="F102" s="718" t="s">
        <v>536</v>
      </c>
      <c r="G102" s="717" t="s">
        <v>520</v>
      </c>
      <c r="H102" s="717">
        <v>116547</v>
      </c>
      <c r="I102" s="717">
        <v>16547</v>
      </c>
      <c r="J102" s="717" t="s">
        <v>713</v>
      </c>
      <c r="K102" s="717" t="s">
        <v>714</v>
      </c>
      <c r="L102" s="720">
        <v>529.56999999999994</v>
      </c>
      <c r="M102" s="720">
        <v>16</v>
      </c>
      <c r="N102" s="721">
        <v>8473.119999999999</v>
      </c>
    </row>
    <row r="103" spans="1:14" ht="14.45" customHeight="1" x14ac:dyDescent="0.2">
      <c r="A103" s="715" t="s">
        <v>518</v>
      </c>
      <c r="B103" s="716" t="s">
        <v>519</v>
      </c>
      <c r="C103" s="717" t="s">
        <v>531</v>
      </c>
      <c r="D103" s="718" t="s">
        <v>532</v>
      </c>
      <c r="E103" s="719">
        <v>50113001</v>
      </c>
      <c r="F103" s="718" t="s">
        <v>536</v>
      </c>
      <c r="G103" s="717" t="s">
        <v>537</v>
      </c>
      <c r="H103" s="717">
        <v>902072</v>
      </c>
      <c r="I103" s="717">
        <v>9999999</v>
      </c>
      <c r="J103" s="717" t="s">
        <v>715</v>
      </c>
      <c r="K103" s="717" t="s">
        <v>716</v>
      </c>
      <c r="L103" s="720">
        <v>33.431192785167475</v>
      </c>
      <c r="M103" s="720">
        <v>50</v>
      </c>
      <c r="N103" s="721">
        <v>1671.5596392583736</v>
      </c>
    </row>
    <row r="104" spans="1:14" ht="14.45" customHeight="1" x14ac:dyDescent="0.2">
      <c r="A104" s="715" t="s">
        <v>518</v>
      </c>
      <c r="B104" s="716" t="s">
        <v>519</v>
      </c>
      <c r="C104" s="717" t="s">
        <v>531</v>
      </c>
      <c r="D104" s="718" t="s">
        <v>532</v>
      </c>
      <c r="E104" s="719">
        <v>50113001</v>
      </c>
      <c r="F104" s="718" t="s">
        <v>536</v>
      </c>
      <c r="G104" s="717" t="s">
        <v>537</v>
      </c>
      <c r="H104" s="717">
        <v>167561</v>
      </c>
      <c r="I104" s="717">
        <v>67561</v>
      </c>
      <c r="J104" s="717" t="s">
        <v>717</v>
      </c>
      <c r="K104" s="717" t="s">
        <v>718</v>
      </c>
      <c r="L104" s="720">
        <v>22.310000000000002</v>
      </c>
      <c r="M104" s="720">
        <v>1</v>
      </c>
      <c r="N104" s="721">
        <v>22.310000000000002</v>
      </c>
    </row>
    <row r="105" spans="1:14" ht="14.45" customHeight="1" x14ac:dyDescent="0.2">
      <c r="A105" s="715" t="s">
        <v>518</v>
      </c>
      <c r="B105" s="716" t="s">
        <v>519</v>
      </c>
      <c r="C105" s="717" t="s">
        <v>531</v>
      </c>
      <c r="D105" s="718" t="s">
        <v>532</v>
      </c>
      <c r="E105" s="719">
        <v>50113001</v>
      </c>
      <c r="F105" s="718" t="s">
        <v>536</v>
      </c>
      <c r="G105" s="717" t="s">
        <v>537</v>
      </c>
      <c r="H105" s="717">
        <v>845813</v>
      </c>
      <c r="I105" s="717">
        <v>9999999</v>
      </c>
      <c r="J105" s="717" t="s">
        <v>719</v>
      </c>
      <c r="K105" s="717" t="s">
        <v>520</v>
      </c>
      <c r="L105" s="720">
        <v>516.78000000000009</v>
      </c>
      <c r="M105" s="720">
        <v>6</v>
      </c>
      <c r="N105" s="721">
        <v>3100.6800000000003</v>
      </c>
    </row>
    <row r="106" spans="1:14" ht="14.45" customHeight="1" x14ac:dyDescent="0.2">
      <c r="A106" s="715" t="s">
        <v>518</v>
      </c>
      <c r="B106" s="716" t="s">
        <v>519</v>
      </c>
      <c r="C106" s="717" t="s">
        <v>531</v>
      </c>
      <c r="D106" s="718" t="s">
        <v>532</v>
      </c>
      <c r="E106" s="719">
        <v>50113001</v>
      </c>
      <c r="F106" s="718" t="s">
        <v>536</v>
      </c>
      <c r="G106" s="717" t="s">
        <v>537</v>
      </c>
      <c r="H106" s="717">
        <v>193104</v>
      </c>
      <c r="I106" s="717">
        <v>93104</v>
      </c>
      <c r="J106" s="717" t="s">
        <v>720</v>
      </c>
      <c r="K106" s="717" t="s">
        <v>721</v>
      </c>
      <c r="L106" s="720">
        <v>46.86</v>
      </c>
      <c r="M106" s="720">
        <v>2</v>
      </c>
      <c r="N106" s="721">
        <v>93.72</v>
      </c>
    </row>
    <row r="107" spans="1:14" ht="14.45" customHeight="1" x14ac:dyDescent="0.2">
      <c r="A107" s="715" t="s">
        <v>518</v>
      </c>
      <c r="B107" s="716" t="s">
        <v>519</v>
      </c>
      <c r="C107" s="717" t="s">
        <v>531</v>
      </c>
      <c r="D107" s="718" t="s">
        <v>532</v>
      </c>
      <c r="E107" s="719">
        <v>50113001</v>
      </c>
      <c r="F107" s="718" t="s">
        <v>536</v>
      </c>
      <c r="G107" s="717" t="s">
        <v>537</v>
      </c>
      <c r="H107" s="717">
        <v>193105</v>
      </c>
      <c r="I107" s="717">
        <v>93105</v>
      </c>
      <c r="J107" s="717" t="s">
        <v>720</v>
      </c>
      <c r="K107" s="717" t="s">
        <v>722</v>
      </c>
      <c r="L107" s="720">
        <v>208.8589180327869</v>
      </c>
      <c r="M107" s="720">
        <v>152.5</v>
      </c>
      <c r="N107" s="721">
        <v>31850.985000000004</v>
      </c>
    </row>
    <row r="108" spans="1:14" ht="14.45" customHeight="1" x14ac:dyDescent="0.2">
      <c r="A108" s="715" t="s">
        <v>518</v>
      </c>
      <c r="B108" s="716" t="s">
        <v>519</v>
      </c>
      <c r="C108" s="717" t="s">
        <v>531</v>
      </c>
      <c r="D108" s="718" t="s">
        <v>532</v>
      </c>
      <c r="E108" s="719">
        <v>50113001</v>
      </c>
      <c r="F108" s="718" t="s">
        <v>536</v>
      </c>
      <c r="G108" s="717" t="s">
        <v>520</v>
      </c>
      <c r="H108" s="717">
        <v>225230</v>
      </c>
      <c r="I108" s="717">
        <v>225230</v>
      </c>
      <c r="J108" s="717" t="s">
        <v>723</v>
      </c>
      <c r="K108" s="717" t="s">
        <v>724</v>
      </c>
      <c r="L108" s="720">
        <v>240.76000000000005</v>
      </c>
      <c r="M108" s="720">
        <v>1</v>
      </c>
      <c r="N108" s="721">
        <v>240.76000000000005</v>
      </c>
    </row>
    <row r="109" spans="1:14" ht="14.45" customHeight="1" x14ac:dyDescent="0.2">
      <c r="A109" s="715" t="s">
        <v>518</v>
      </c>
      <c r="B109" s="716" t="s">
        <v>519</v>
      </c>
      <c r="C109" s="717" t="s">
        <v>531</v>
      </c>
      <c r="D109" s="718" t="s">
        <v>532</v>
      </c>
      <c r="E109" s="719">
        <v>50113001</v>
      </c>
      <c r="F109" s="718" t="s">
        <v>536</v>
      </c>
      <c r="G109" s="717" t="s">
        <v>552</v>
      </c>
      <c r="H109" s="717">
        <v>192034</v>
      </c>
      <c r="I109" s="717">
        <v>92034</v>
      </c>
      <c r="J109" s="717" t="s">
        <v>725</v>
      </c>
      <c r="K109" s="717" t="s">
        <v>726</v>
      </c>
      <c r="L109" s="720">
        <v>125.39000000000003</v>
      </c>
      <c r="M109" s="720">
        <v>1</v>
      </c>
      <c r="N109" s="721">
        <v>125.39000000000003</v>
      </c>
    </row>
    <row r="110" spans="1:14" ht="14.45" customHeight="1" x14ac:dyDescent="0.2">
      <c r="A110" s="715" t="s">
        <v>518</v>
      </c>
      <c r="B110" s="716" t="s">
        <v>519</v>
      </c>
      <c r="C110" s="717" t="s">
        <v>531</v>
      </c>
      <c r="D110" s="718" t="s">
        <v>532</v>
      </c>
      <c r="E110" s="719">
        <v>50113001</v>
      </c>
      <c r="F110" s="718" t="s">
        <v>536</v>
      </c>
      <c r="G110" s="717" t="s">
        <v>552</v>
      </c>
      <c r="H110" s="717">
        <v>144997</v>
      </c>
      <c r="I110" s="717">
        <v>44997</v>
      </c>
      <c r="J110" s="717" t="s">
        <v>727</v>
      </c>
      <c r="K110" s="717" t="s">
        <v>728</v>
      </c>
      <c r="L110" s="720">
        <v>237.26000000000005</v>
      </c>
      <c r="M110" s="720">
        <v>1</v>
      </c>
      <c r="N110" s="721">
        <v>237.26000000000005</v>
      </c>
    </row>
    <row r="111" spans="1:14" ht="14.45" customHeight="1" x14ac:dyDescent="0.2">
      <c r="A111" s="715" t="s">
        <v>518</v>
      </c>
      <c r="B111" s="716" t="s">
        <v>519</v>
      </c>
      <c r="C111" s="717" t="s">
        <v>531</v>
      </c>
      <c r="D111" s="718" t="s">
        <v>532</v>
      </c>
      <c r="E111" s="719">
        <v>50113001</v>
      </c>
      <c r="F111" s="718" t="s">
        <v>536</v>
      </c>
      <c r="G111" s="717" t="s">
        <v>552</v>
      </c>
      <c r="H111" s="717">
        <v>140536</v>
      </c>
      <c r="I111" s="717">
        <v>40536</v>
      </c>
      <c r="J111" s="717" t="s">
        <v>729</v>
      </c>
      <c r="K111" s="717" t="s">
        <v>730</v>
      </c>
      <c r="L111" s="720">
        <v>88.40666666666668</v>
      </c>
      <c r="M111" s="720">
        <v>3</v>
      </c>
      <c r="N111" s="721">
        <v>265.22000000000003</v>
      </c>
    </row>
    <row r="112" spans="1:14" ht="14.45" customHeight="1" x14ac:dyDescent="0.2">
      <c r="A112" s="715" t="s">
        <v>518</v>
      </c>
      <c r="B112" s="716" t="s">
        <v>519</v>
      </c>
      <c r="C112" s="717" t="s">
        <v>531</v>
      </c>
      <c r="D112" s="718" t="s">
        <v>532</v>
      </c>
      <c r="E112" s="719">
        <v>50113001</v>
      </c>
      <c r="F112" s="718" t="s">
        <v>536</v>
      </c>
      <c r="G112" s="717" t="s">
        <v>537</v>
      </c>
      <c r="H112" s="717">
        <v>114075</v>
      </c>
      <c r="I112" s="717">
        <v>14075</v>
      </c>
      <c r="J112" s="717" t="s">
        <v>731</v>
      </c>
      <c r="K112" s="717" t="s">
        <v>732</v>
      </c>
      <c r="L112" s="720">
        <v>294.88750000000005</v>
      </c>
      <c r="M112" s="720">
        <v>4</v>
      </c>
      <c r="N112" s="721">
        <v>1179.5500000000002</v>
      </c>
    </row>
    <row r="113" spans="1:14" ht="14.45" customHeight="1" x14ac:dyDescent="0.2">
      <c r="A113" s="715" t="s">
        <v>518</v>
      </c>
      <c r="B113" s="716" t="s">
        <v>519</v>
      </c>
      <c r="C113" s="717" t="s">
        <v>531</v>
      </c>
      <c r="D113" s="718" t="s">
        <v>532</v>
      </c>
      <c r="E113" s="719">
        <v>50113001</v>
      </c>
      <c r="F113" s="718" t="s">
        <v>536</v>
      </c>
      <c r="G113" s="717" t="s">
        <v>537</v>
      </c>
      <c r="H113" s="717">
        <v>225549</v>
      </c>
      <c r="I113" s="717">
        <v>225549</v>
      </c>
      <c r="J113" s="717" t="s">
        <v>731</v>
      </c>
      <c r="K113" s="717" t="s">
        <v>733</v>
      </c>
      <c r="L113" s="720">
        <v>829.40999999999974</v>
      </c>
      <c r="M113" s="720">
        <v>1</v>
      </c>
      <c r="N113" s="721">
        <v>829.40999999999974</v>
      </c>
    </row>
    <row r="114" spans="1:14" ht="14.45" customHeight="1" x14ac:dyDescent="0.2">
      <c r="A114" s="715" t="s">
        <v>518</v>
      </c>
      <c r="B114" s="716" t="s">
        <v>519</v>
      </c>
      <c r="C114" s="717" t="s">
        <v>531</v>
      </c>
      <c r="D114" s="718" t="s">
        <v>532</v>
      </c>
      <c r="E114" s="719">
        <v>50113001</v>
      </c>
      <c r="F114" s="718" t="s">
        <v>536</v>
      </c>
      <c r="G114" s="717" t="s">
        <v>537</v>
      </c>
      <c r="H114" s="717">
        <v>197522</v>
      </c>
      <c r="I114" s="717">
        <v>97522</v>
      </c>
      <c r="J114" s="717" t="s">
        <v>731</v>
      </c>
      <c r="K114" s="717" t="s">
        <v>734</v>
      </c>
      <c r="L114" s="720">
        <v>159.20000000000002</v>
      </c>
      <c r="M114" s="720">
        <v>1</v>
      </c>
      <c r="N114" s="721">
        <v>159.20000000000002</v>
      </c>
    </row>
    <row r="115" spans="1:14" ht="14.45" customHeight="1" x14ac:dyDescent="0.2">
      <c r="A115" s="715" t="s">
        <v>518</v>
      </c>
      <c r="B115" s="716" t="s">
        <v>519</v>
      </c>
      <c r="C115" s="717" t="s">
        <v>531</v>
      </c>
      <c r="D115" s="718" t="s">
        <v>532</v>
      </c>
      <c r="E115" s="719">
        <v>50113001</v>
      </c>
      <c r="F115" s="718" t="s">
        <v>536</v>
      </c>
      <c r="G115" s="717" t="s">
        <v>537</v>
      </c>
      <c r="H115" s="717">
        <v>201992</v>
      </c>
      <c r="I115" s="717">
        <v>201992</v>
      </c>
      <c r="J115" s="717" t="s">
        <v>731</v>
      </c>
      <c r="K115" s="717" t="s">
        <v>735</v>
      </c>
      <c r="L115" s="720">
        <v>553.13000000000011</v>
      </c>
      <c r="M115" s="720">
        <v>2</v>
      </c>
      <c r="N115" s="721">
        <v>1106.2600000000002</v>
      </c>
    </row>
    <row r="116" spans="1:14" ht="14.45" customHeight="1" x14ac:dyDescent="0.2">
      <c r="A116" s="715" t="s">
        <v>518</v>
      </c>
      <c r="B116" s="716" t="s">
        <v>519</v>
      </c>
      <c r="C116" s="717" t="s">
        <v>531</v>
      </c>
      <c r="D116" s="718" t="s">
        <v>532</v>
      </c>
      <c r="E116" s="719">
        <v>50113001</v>
      </c>
      <c r="F116" s="718" t="s">
        <v>536</v>
      </c>
      <c r="G116" s="717" t="s">
        <v>537</v>
      </c>
      <c r="H116" s="717">
        <v>184090</v>
      </c>
      <c r="I116" s="717">
        <v>84090</v>
      </c>
      <c r="J116" s="717" t="s">
        <v>736</v>
      </c>
      <c r="K116" s="717" t="s">
        <v>737</v>
      </c>
      <c r="L116" s="720">
        <v>60.106399999999994</v>
      </c>
      <c r="M116" s="720">
        <v>75</v>
      </c>
      <c r="N116" s="721">
        <v>4507.9799999999996</v>
      </c>
    </row>
    <row r="117" spans="1:14" ht="14.45" customHeight="1" x14ac:dyDescent="0.2">
      <c r="A117" s="715" t="s">
        <v>518</v>
      </c>
      <c r="B117" s="716" t="s">
        <v>519</v>
      </c>
      <c r="C117" s="717" t="s">
        <v>531</v>
      </c>
      <c r="D117" s="718" t="s">
        <v>532</v>
      </c>
      <c r="E117" s="719">
        <v>50113001</v>
      </c>
      <c r="F117" s="718" t="s">
        <v>536</v>
      </c>
      <c r="G117" s="717" t="s">
        <v>537</v>
      </c>
      <c r="H117" s="717">
        <v>501994</v>
      </c>
      <c r="I117" s="717">
        <v>0</v>
      </c>
      <c r="J117" s="717" t="s">
        <v>738</v>
      </c>
      <c r="K117" s="717" t="s">
        <v>739</v>
      </c>
      <c r="L117" s="720">
        <v>264.92399999999998</v>
      </c>
      <c r="M117" s="720">
        <v>8</v>
      </c>
      <c r="N117" s="721">
        <v>2119.3919999999998</v>
      </c>
    </row>
    <row r="118" spans="1:14" ht="14.45" customHeight="1" x14ac:dyDescent="0.2">
      <c r="A118" s="715" t="s">
        <v>518</v>
      </c>
      <c r="B118" s="716" t="s">
        <v>519</v>
      </c>
      <c r="C118" s="717" t="s">
        <v>531</v>
      </c>
      <c r="D118" s="718" t="s">
        <v>532</v>
      </c>
      <c r="E118" s="719">
        <v>50113001</v>
      </c>
      <c r="F118" s="718" t="s">
        <v>536</v>
      </c>
      <c r="G118" s="717" t="s">
        <v>520</v>
      </c>
      <c r="H118" s="717">
        <v>989970</v>
      </c>
      <c r="I118" s="717">
        <v>168651</v>
      </c>
      <c r="J118" s="717" t="s">
        <v>740</v>
      </c>
      <c r="K118" s="717" t="s">
        <v>741</v>
      </c>
      <c r="L118" s="720">
        <v>13830.63</v>
      </c>
      <c r="M118" s="720">
        <v>3</v>
      </c>
      <c r="N118" s="721">
        <v>41491.89</v>
      </c>
    </row>
    <row r="119" spans="1:14" ht="14.45" customHeight="1" x14ac:dyDescent="0.2">
      <c r="A119" s="715" t="s">
        <v>518</v>
      </c>
      <c r="B119" s="716" t="s">
        <v>519</v>
      </c>
      <c r="C119" s="717" t="s">
        <v>531</v>
      </c>
      <c r="D119" s="718" t="s">
        <v>532</v>
      </c>
      <c r="E119" s="719">
        <v>50113001</v>
      </c>
      <c r="F119" s="718" t="s">
        <v>536</v>
      </c>
      <c r="G119" s="717" t="s">
        <v>552</v>
      </c>
      <c r="H119" s="717">
        <v>136754</v>
      </c>
      <c r="I119" s="717">
        <v>136754</v>
      </c>
      <c r="J119" s="717" t="s">
        <v>742</v>
      </c>
      <c r="K119" s="717" t="s">
        <v>743</v>
      </c>
      <c r="L119" s="720">
        <v>1122</v>
      </c>
      <c r="M119" s="720">
        <v>2</v>
      </c>
      <c r="N119" s="721">
        <v>2244</v>
      </c>
    </row>
    <row r="120" spans="1:14" ht="14.45" customHeight="1" x14ac:dyDescent="0.2">
      <c r="A120" s="715" t="s">
        <v>518</v>
      </c>
      <c r="B120" s="716" t="s">
        <v>519</v>
      </c>
      <c r="C120" s="717" t="s">
        <v>531</v>
      </c>
      <c r="D120" s="718" t="s">
        <v>532</v>
      </c>
      <c r="E120" s="719">
        <v>50113001</v>
      </c>
      <c r="F120" s="718" t="s">
        <v>536</v>
      </c>
      <c r="G120" s="717" t="s">
        <v>537</v>
      </c>
      <c r="H120" s="717">
        <v>101290</v>
      </c>
      <c r="I120" s="717">
        <v>1290</v>
      </c>
      <c r="J120" s="717" t="s">
        <v>744</v>
      </c>
      <c r="K120" s="717" t="s">
        <v>745</v>
      </c>
      <c r="L120" s="720">
        <v>134.59</v>
      </c>
      <c r="M120" s="720">
        <v>1</v>
      </c>
      <c r="N120" s="721">
        <v>134.59</v>
      </c>
    </row>
    <row r="121" spans="1:14" ht="14.45" customHeight="1" x14ac:dyDescent="0.2">
      <c r="A121" s="715" t="s">
        <v>518</v>
      </c>
      <c r="B121" s="716" t="s">
        <v>519</v>
      </c>
      <c r="C121" s="717" t="s">
        <v>531</v>
      </c>
      <c r="D121" s="718" t="s">
        <v>532</v>
      </c>
      <c r="E121" s="719">
        <v>50113001</v>
      </c>
      <c r="F121" s="718" t="s">
        <v>536</v>
      </c>
      <c r="G121" s="717" t="s">
        <v>537</v>
      </c>
      <c r="H121" s="717">
        <v>230420</v>
      </c>
      <c r="I121" s="717">
        <v>230420</v>
      </c>
      <c r="J121" s="717" t="s">
        <v>746</v>
      </c>
      <c r="K121" s="717" t="s">
        <v>747</v>
      </c>
      <c r="L121" s="720">
        <v>77.046666666666667</v>
      </c>
      <c r="M121" s="720">
        <v>3</v>
      </c>
      <c r="N121" s="721">
        <v>231.14000000000001</v>
      </c>
    </row>
    <row r="122" spans="1:14" ht="14.45" customHeight="1" x14ac:dyDescent="0.2">
      <c r="A122" s="715" t="s">
        <v>518</v>
      </c>
      <c r="B122" s="716" t="s">
        <v>519</v>
      </c>
      <c r="C122" s="717" t="s">
        <v>531</v>
      </c>
      <c r="D122" s="718" t="s">
        <v>532</v>
      </c>
      <c r="E122" s="719">
        <v>50113001</v>
      </c>
      <c r="F122" s="718" t="s">
        <v>536</v>
      </c>
      <c r="G122" s="717" t="s">
        <v>537</v>
      </c>
      <c r="H122" s="717">
        <v>846346</v>
      </c>
      <c r="I122" s="717">
        <v>119672</v>
      </c>
      <c r="J122" s="717" t="s">
        <v>748</v>
      </c>
      <c r="K122" s="717" t="s">
        <v>749</v>
      </c>
      <c r="L122" s="720">
        <v>123.30000000000003</v>
      </c>
      <c r="M122" s="720">
        <v>1</v>
      </c>
      <c r="N122" s="721">
        <v>123.30000000000003</v>
      </c>
    </row>
    <row r="123" spans="1:14" ht="14.45" customHeight="1" x14ac:dyDescent="0.2">
      <c r="A123" s="715" t="s">
        <v>518</v>
      </c>
      <c r="B123" s="716" t="s">
        <v>519</v>
      </c>
      <c r="C123" s="717" t="s">
        <v>531</v>
      </c>
      <c r="D123" s="718" t="s">
        <v>532</v>
      </c>
      <c r="E123" s="719">
        <v>50113001</v>
      </c>
      <c r="F123" s="718" t="s">
        <v>536</v>
      </c>
      <c r="G123" s="717" t="s">
        <v>537</v>
      </c>
      <c r="H123" s="717">
        <v>117011</v>
      </c>
      <c r="I123" s="717">
        <v>17011</v>
      </c>
      <c r="J123" s="717" t="s">
        <v>750</v>
      </c>
      <c r="K123" s="717" t="s">
        <v>751</v>
      </c>
      <c r="L123" s="720">
        <v>145.26627677100495</v>
      </c>
      <c r="M123" s="720">
        <v>607</v>
      </c>
      <c r="N123" s="721">
        <v>88176.63</v>
      </c>
    </row>
    <row r="124" spans="1:14" ht="14.45" customHeight="1" x14ac:dyDescent="0.2">
      <c r="A124" s="715" t="s">
        <v>518</v>
      </c>
      <c r="B124" s="716" t="s">
        <v>519</v>
      </c>
      <c r="C124" s="717" t="s">
        <v>531</v>
      </c>
      <c r="D124" s="718" t="s">
        <v>532</v>
      </c>
      <c r="E124" s="719">
        <v>50113001</v>
      </c>
      <c r="F124" s="718" t="s">
        <v>536</v>
      </c>
      <c r="G124" s="717" t="s">
        <v>537</v>
      </c>
      <c r="H124" s="717">
        <v>844831</v>
      </c>
      <c r="I124" s="717">
        <v>0</v>
      </c>
      <c r="J124" s="717" t="s">
        <v>752</v>
      </c>
      <c r="K124" s="717" t="s">
        <v>753</v>
      </c>
      <c r="L124" s="720">
        <v>1377.2144444444446</v>
      </c>
      <c r="M124" s="720">
        <v>9</v>
      </c>
      <c r="N124" s="721">
        <v>12394.93</v>
      </c>
    </row>
    <row r="125" spans="1:14" ht="14.45" customHeight="1" x14ac:dyDescent="0.2">
      <c r="A125" s="715" t="s">
        <v>518</v>
      </c>
      <c r="B125" s="716" t="s">
        <v>519</v>
      </c>
      <c r="C125" s="717" t="s">
        <v>531</v>
      </c>
      <c r="D125" s="718" t="s">
        <v>532</v>
      </c>
      <c r="E125" s="719">
        <v>50113001</v>
      </c>
      <c r="F125" s="718" t="s">
        <v>536</v>
      </c>
      <c r="G125" s="717" t="s">
        <v>537</v>
      </c>
      <c r="H125" s="717">
        <v>100113</v>
      </c>
      <c r="I125" s="717">
        <v>113</v>
      </c>
      <c r="J125" s="717" t="s">
        <v>754</v>
      </c>
      <c r="K125" s="717" t="s">
        <v>755</v>
      </c>
      <c r="L125" s="720">
        <v>46.019999999999996</v>
      </c>
      <c r="M125" s="720">
        <v>13</v>
      </c>
      <c r="N125" s="721">
        <v>598.26</v>
      </c>
    </row>
    <row r="126" spans="1:14" ht="14.45" customHeight="1" x14ac:dyDescent="0.2">
      <c r="A126" s="715" t="s">
        <v>518</v>
      </c>
      <c r="B126" s="716" t="s">
        <v>519</v>
      </c>
      <c r="C126" s="717" t="s">
        <v>531</v>
      </c>
      <c r="D126" s="718" t="s">
        <v>532</v>
      </c>
      <c r="E126" s="719">
        <v>50113001</v>
      </c>
      <c r="F126" s="718" t="s">
        <v>536</v>
      </c>
      <c r="G126" s="717" t="s">
        <v>537</v>
      </c>
      <c r="H126" s="717">
        <v>844591</v>
      </c>
      <c r="I126" s="717">
        <v>107161</v>
      </c>
      <c r="J126" s="717" t="s">
        <v>756</v>
      </c>
      <c r="K126" s="717" t="s">
        <v>757</v>
      </c>
      <c r="L126" s="720">
        <v>935</v>
      </c>
      <c r="M126" s="720">
        <v>66</v>
      </c>
      <c r="N126" s="721">
        <v>61710</v>
      </c>
    </row>
    <row r="127" spans="1:14" ht="14.45" customHeight="1" x14ac:dyDescent="0.2">
      <c r="A127" s="715" t="s">
        <v>518</v>
      </c>
      <c r="B127" s="716" t="s">
        <v>519</v>
      </c>
      <c r="C127" s="717" t="s">
        <v>531</v>
      </c>
      <c r="D127" s="718" t="s">
        <v>532</v>
      </c>
      <c r="E127" s="719">
        <v>50113001</v>
      </c>
      <c r="F127" s="718" t="s">
        <v>536</v>
      </c>
      <c r="G127" s="717" t="s">
        <v>537</v>
      </c>
      <c r="H127" s="717">
        <v>11399</v>
      </c>
      <c r="I127" s="717">
        <v>11399</v>
      </c>
      <c r="J127" s="717" t="s">
        <v>756</v>
      </c>
      <c r="K127" s="717" t="s">
        <v>758</v>
      </c>
      <c r="L127" s="720">
        <v>9350</v>
      </c>
      <c r="M127" s="720">
        <v>1</v>
      </c>
      <c r="N127" s="721">
        <v>9350</v>
      </c>
    </row>
    <row r="128" spans="1:14" ht="14.45" customHeight="1" x14ac:dyDescent="0.2">
      <c r="A128" s="715" t="s">
        <v>518</v>
      </c>
      <c r="B128" s="716" t="s">
        <v>519</v>
      </c>
      <c r="C128" s="717" t="s">
        <v>531</v>
      </c>
      <c r="D128" s="718" t="s">
        <v>532</v>
      </c>
      <c r="E128" s="719">
        <v>50113001</v>
      </c>
      <c r="F128" s="718" t="s">
        <v>536</v>
      </c>
      <c r="G128" s="717" t="s">
        <v>537</v>
      </c>
      <c r="H128" s="717">
        <v>241672</v>
      </c>
      <c r="I128" s="717">
        <v>241672</v>
      </c>
      <c r="J128" s="717" t="s">
        <v>759</v>
      </c>
      <c r="K128" s="717" t="s">
        <v>760</v>
      </c>
      <c r="L128" s="720">
        <v>111.41</v>
      </c>
      <c r="M128" s="720">
        <v>68</v>
      </c>
      <c r="N128" s="721">
        <v>7575.88</v>
      </c>
    </row>
    <row r="129" spans="1:14" ht="14.45" customHeight="1" x14ac:dyDescent="0.2">
      <c r="A129" s="715" t="s">
        <v>518</v>
      </c>
      <c r="B129" s="716" t="s">
        <v>519</v>
      </c>
      <c r="C129" s="717" t="s">
        <v>531</v>
      </c>
      <c r="D129" s="718" t="s">
        <v>532</v>
      </c>
      <c r="E129" s="719">
        <v>50113001</v>
      </c>
      <c r="F129" s="718" t="s">
        <v>536</v>
      </c>
      <c r="G129" s="717" t="s">
        <v>537</v>
      </c>
      <c r="H129" s="717">
        <v>231751</v>
      </c>
      <c r="I129" s="717">
        <v>231751</v>
      </c>
      <c r="J129" s="717" t="s">
        <v>761</v>
      </c>
      <c r="K129" s="717" t="s">
        <v>762</v>
      </c>
      <c r="L129" s="720">
        <v>111.83036649214657</v>
      </c>
      <c r="M129" s="720">
        <v>382</v>
      </c>
      <c r="N129" s="721">
        <v>42719.19999999999</v>
      </c>
    </row>
    <row r="130" spans="1:14" ht="14.45" customHeight="1" x14ac:dyDescent="0.2">
      <c r="A130" s="715" t="s">
        <v>518</v>
      </c>
      <c r="B130" s="716" t="s">
        <v>519</v>
      </c>
      <c r="C130" s="717" t="s">
        <v>531</v>
      </c>
      <c r="D130" s="718" t="s">
        <v>532</v>
      </c>
      <c r="E130" s="719">
        <v>50113001</v>
      </c>
      <c r="F130" s="718" t="s">
        <v>536</v>
      </c>
      <c r="G130" s="717" t="s">
        <v>537</v>
      </c>
      <c r="H130" s="717">
        <v>108499</v>
      </c>
      <c r="I130" s="717">
        <v>8499</v>
      </c>
      <c r="J130" s="717" t="s">
        <v>761</v>
      </c>
      <c r="K130" s="717" t="s">
        <v>762</v>
      </c>
      <c r="L130" s="720">
        <v>111.52000000000001</v>
      </c>
      <c r="M130" s="720">
        <v>190</v>
      </c>
      <c r="N130" s="721">
        <v>21188.800000000003</v>
      </c>
    </row>
    <row r="131" spans="1:14" ht="14.45" customHeight="1" x14ac:dyDescent="0.2">
      <c r="A131" s="715" t="s">
        <v>518</v>
      </c>
      <c r="B131" s="716" t="s">
        <v>519</v>
      </c>
      <c r="C131" s="717" t="s">
        <v>531</v>
      </c>
      <c r="D131" s="718" t="s">
        <v>532</v>
      </c>
      <c r="E131" s="719">
        <v>50113001</v>
      </c>
      <c r="F131" s="718" t="s">
        <v>536</v>
      </c>
      <c r="G131" s="717" t="s">
        <v>537</v>
      </c>
      <c r="H131" s="717">
        <v>192217</v>
      </c>
      <c r="I131" s="717">
        <v>192217</v>
      </c>
      <c r="J131" s="717" t="s">
        <v>763</v>
      </c>
      <c r="K131" s="717" t="s">
        <v>764</v>
      </c>
      <c r="L131" s="720">
        <v>62.380000000000017</v>
      </c>
      <c r="M131" s="720">
        <v>1</v>
      </c>
      <c r="N131" s="721">
        <v>62.380000000000017</v>
      </c>
    </row>
    <row r="132" spans="1:14" ht="14.45" customHeight="1" x14ac:dyDescent="0.2">
      <c r="A132" s="715" t="s">
        <v>518</v>
      </c>
      <c r="B132" s="716" t="s">
        <v>519</v>
      </c>
      <c r="C132" s="717" t="s">
        <v>531</v>
      </c>
      <c r="D132" s="718" t="s">
        <v>532</v>
      </c>
      <c r="E132" s="719">
        <v>50113001</v>
      </c>
      <c r="F132" s="718" t="s">
        <v>536</v>
      </c>
      <c r="G132" s="717" t="s">
        <v>537</v>
      </c>
      <c r="H132" s="717">
        <v>192219</v>
      </c>
      <c r="I132" s="717">
        <v>192219</v>
      </c>
      <c r="J132" s="717" t="s">
        <v>763</v>
      </c>
      <c r="K132" s="717" t="s">
        <v>765</v>
      </c>
      <c r="L132" s="720">
        <v>51.92</v>
      </c>
      <c r="M132" s="720">
        <v>2</v>
      </c>
      <c r="N132" s="721">
        <v>103.84</v>
      </c>
    </row>
    <row r="133" spans="1:14" ht="14.45" customHeight="1" x14ac:dyDescent="0.2">
      <c r="A133" s="715" t="s">
        <v>518</v>
      </c>
      <c r="B133" s="716" t="s">
        <v>519</v>
      </c>
      <c r="C133" s="717" t="s">
        <v>531</v>
      </c>
      <c r="D133" s="718" t="s">
        <v>532</v>
      </c>
      <c r="E133" s="719">
        <v>50113001</v>
      </c>
      <c r="F133" s="718" t="s">
        <v>536</v>
      </c>
      <c r="G133" s="717" t="s">
        <v>537</v>
      </c>
      <c r="H133" s="717">
        <v>104071</v>
      </c>
      <c r="I133" s="717">
        <v>4071</v>
      </c>
      <c r="J133" s="717" t="s">
        <v>766</v>
      </c>
      <c r="K133" s="717" t="s">
        <v>767</v>
      </c>
      <c r="L133" s="720">
        <v>200.16833333333332</v>
      </c>
      <c r="M133" s="720">
        <v>6</v>
      </c>
      <c r="N133" s="721">
        <v>1201.01</v>
      </c>
    </row>
    <row r="134" spans="1:14" ht="14.45" customHeight="1" x14ac:dyDescent="0.2">
      <c r="A134" s="715" t="s">
        <v>518</v>
      </c>
      <c r="B134" s="716" t="s">
        <v>519</v>
      </c>
      <c r="C134" s="717" t="s">
        <v>531</v>
      </c>
      <c r="D134" s="718" t="s">
        <v>532</v>
      </c>
      <c r="E134" s="719">
        <v>50113001</v>
      </c>
      <c r="F134" s="718" t="s">
        <v>536</v>
      </c>
      <c r="G134" s="717" t="s">
        <v>537</v>
      </c>
      <c r="H134" s="717">
        <v>846599</v>
      </c>
      <c r="I134" s="717">
        <v>107754</v>
      </c>
      <c r="J134" s="717" t="s">
        <v>768</v>
      </c>
      <c r="K134" s="717" t="s">
        <v>520</v>
      </c>
      <c r="L134" s="720">
        <v>132.37214285714285</v>
      </c>
      <c r="M134" s="720">
        <v>14</v>
      </c>
      <c r="N134" s="721">
        <v>1853.21</v>
      </c>
    </row>
    <row r="135" spans="1:14" ht="14.45" customHeight="1" x14ac:dyDescent="0.2">
      <c r="A135" s="715" t="s">
        <v>518</v>
      </c>
      <c r="B135" s="716" t="s">
        <v>519</v>
      </c>
      <c r="C135" s="717" t="s">
        <v>531</v>
      </c>
      <c r="D135" s="718" t="s">
        <v>532</v>
      </c>
      <c r="E135" s="719">
        <v>50113001</v>
      </c>
      <c r="F135" s="718" t="s">
        <v>536</v>
      </c>
      <c r="G135" s="717" t="s">
        <v>537</v>
      </c>
      <c r="H135" s="717">
        <v>154539</v>
      </c>
      <c r="I135" s="717">
        <v>54539</v>
      </c>
      <c r="J135" s="717" t="s">
        <v>769</v>
      </c>
      <c r="K135" s="717" t="s">
        <v>770</v>
      </c>
      <c r="L135" s="720">
        <v>60.139999999999993</v>
      </c>
      <c r="M135" s="720">
        <v>26</v>
      </c>
      <c r="N135" s="721">
        <v>1563.6399999999999</v>
      </c>
    </row>
    <row r="136" spans="1:14" ht="14.45" customHeight="1" x14ac:dyDescent="0.2">
      <c r="A136" s="715" t="s">
        <v>518</v>
      </c>
      <c r="B136" s="716" t="s">
        <v>519</v>
      </c>
      <c r="C136" s="717" t="s">
        <v>531</v>
      </c>
      <c r="D136" s="718" t="s">
        <v>532</v>
      </c>
      <c r="E136" s="719">
        <v>50113001</v>
      </c>
      <c r="F136" s="718" t="s">
        <v>536</v>
      </c>
      <c r="G136" s="717" t="s">
        <v>537</v>
      </c>
      <c r="H136" s="717">
        <v>101328</v>
      </c>
      <c r="I136" s="717">
        <v>1328</v>
      </c>
      <c r="J136" s="717" t="s">
        <v>771</v>
      </c>
      <c r="K136" s="717" t="s">
        <v>772</v>
      </c>
      <c r="L136" s="720">
        <v>126.63999999999997</v>
      </c>
      <c r="M136" s="720">
        <v>1</v>
      </c>
      <c r="N136" s="721">
        <v>126.63999999999997</v>
      </c>
    </row>
    <row r="137" spans="1:14" ht="14.45" customHeight="1" x14ac:dyDescent="0.2">
      <c r="A137" s="715" t="s">
        <v>518</v>
      </c>
      <c r="B137" s="716" t="s">
        <v>519</v>
      </c>
      <c r="C137" s="717" t="s">
        <v>531</v>
      </c>
      <c r="D137" s="718" t="s">
        <v>532</v>
      </c>
      <c r="E137" s="719">
        <v>50113001</v>
      </c>
      <c r="F137" s="718" t="s">
        <v>536</v>
      </c>
      <c r="G137" s="717" t="s">
        <v>537</v>
      </c>
      <c r="H137" s="717">
        <v>185656</v>
      </c>
      <c r="I137" s="717">
        <v>85656</v>
      </c>
      <c r="J137" s="717" t="s">
        <v>773</v>
      </c>
      <c r="K137" s="717" t="s">
        <v>774</v>
      </c>
      <c r="L137" s="720">
        <v>69.830000000000013</v>
      </c>
      <c r="M137" s="720">
        <v>1</v>
      </c>
      <c r="N137" s="721">
        <v>69.830000000000013</v>
      </c>
    </row>
    <row r="138" spans="1:14" ht="14.45" customHeight="1" x14ac:dyDescent="0.2">
      <c r="A138" s="715" t="s">
        <v>518</v>
      </c>
      <c r="B138" s="716" t="s">
        <v>519</v>
      </c>
      <c r="C138" s="717" t="s">
        <v>531</v>
      </c>
      <c r="D138" s="718" t="s">
        <v>532</v>
      </c>
      <c r="E138" s="719">
        <v>50113001</v>
      </c>
      <c r="F138" s="718" t="s">
        <v>536</v>
      </c>
      <c r="G138" s="717" t="s">
        <v>537</v>
      </c>
      <c r="H138" s="717">
        <v>210205</v>
      </c>
      <c r="I138" s="717">
        <v>210205</v>
      </c>
      <c r="J138" s="717" t="s">
        <v>775</v>
      </c>
      <c r="K138" s="717" t="s">
        <v>776</v>
      </c>
      <c r="L138" s="720">
        <v>1160.21</v>
      </c>
      <c r="M138" s="720">
        <v>1</v>
      </c>
      <c r="N138" s="721">
        <v>1160.21</v>
      </c>
    </row>
    <row r="139" spans="1:14" ht="14.45" customHeight="1" x14ac:dyDescent="0.2">
      <c r="A139" s="715" t="s">
        <v>518</v>
      </c>
      <c r="B139" s="716" t="s">
        <v>519</v>
      </c>
      <c r="C139" s="717" t="s">
        <v>531</v>
      </c>
      <c r="D139" s="718" t="s">
        <v>532</v>
      </c>
      <c r="E139" s="719">
        <v>50113001</v>
      </c>
      <c r="F139" s="718" t="s">
        <v>536</v>
      </c>
      <c r="G139" s="717" t="s">
        <v>537</v>
      </c>
      <c r="H139" s="717">
        <v>226525</v>
      </c>
      <c r="I139" s="717">
        <v>226525</v>
      </c>
      <c r="J139" s="717" t="s">
        <v>777</v>
      </c>
      <c r="K139" s="717" t="s">
        <v>778</v>
      </c>
      <c r="L139" s="720">
        <v>66.34</v>
      </c>
      <c r="M139" s="720">
        <v>10</v>
      </c>
      <c r="N139" s="721">
        <v>663.40000000000009</v>
      </c>
    </row>
    <row r="140" spans="1:14" ht="14.45" customHeight="1" x14ac:dyDescent="0.2">
      <c r="A140" s="715" t="s">
        <v>518</v>
      </c>
      <c r="B140" s="716" t="s">
        <v>519</v>
      </c>
      <c r="C140" s="717" t="s">
        <v>531</v>
      </c>
      <c r="D140" s="718" t="s">
        <v>532</v>
      </c>
      <c r="E140" s="719">
        <v>50113001</v>
      </c>
      <c r="F140" s="718" t="s">
        <v>536</v>
      </c>
      <c r="G140" s="717" t="s">
        <v>537</v>
      </c>
      <c r="H140" s="717">
        <v>226523</v>
      </c>
      <c r="I140" s="717">
        <v>226523</v>
      </c>
      <c r="J140" s="717" t="s">
        <v>777</v>
      </c>
      <c r="K140" s="717" t="s">
        <v>779</v>
      </c>
      <c r="L140" s="720">
        <v>51.96</v>
      </c>
      <c r="M140" s="720">
        <v>6</v>
      </c>
      <c r="N140" s="721">
        <v>311.76</v>
      </c>
    </row>
    <row r="141" spans="1:14" ht="14.45" customHeight="1" x14ac:dyDescent="0.2">
      <c r="A141" s="715" t="s">
        <v>518</v>
      </c>
      <c r="B141" s="716" t="s">
        <v>519</v>
      </c>
      <c r="C141" s="717" t="s">
        <v>531</v>
      </c>
      <c r="D141" s="718" t="s">
        <v>532</v>
      </c>
      <c r="E141" s="719">
        <v>50113001</v>
      </c>
      <c r="F141" s="718" t="s">
        <v>536</v>
      </c>
      <c r="G141" s="717" t="s">
        <v>537</v>
      </c>
      <c r="H141" s="717">
        <v>920235</v>
      </c>
      <c r="I141" s="717">
        <v>15880</v>
      </c>
      <c r="J141" s="717" t="s">
        <v>780</v>
      </c>
      <c r="K141" s="717" t="s">
        <v>520</v>
      </c>
      <c r="L141" s="720">
        <v>163.57</v>
      </c>
      <c r="M141" s="720">
        <v>5</v>
      </c>
      <c r="N141" s="721">
        <v>817.84999999999991</v>
      </c>
    </row>
    <row r="142" spans="1:14" ht="14.45" customHeight="1" x14ac:dyDescent="0.2">
      <c r="A142" s="715" t="s">
        <v>518</v>
      </c>
      <c r="B142" s="716" t="s">
        <v>519</v>
      </c>
      <c r="C142" s="717" t="s">
        <v>531</v>
      </c>
      <c r="D142" s="718" t="s">
        <v>532</v>
      </c>
      <c r="E142" s="719">
        <v>50113001</v>
      </c>
      <c r="F142" s="718" t="s">
        <v>536</v>
      </c>
      <c r="G142" s="717" t="s">
        <v>537</v>
      </c>
      <c r="H142" s="717">
        <v>23987</v>
      </c>
      <c r="I142" s="717">
        <v>23987</v>
      </c>
      <c r="J142" s="717" t="s">
        <v>781</v>
      </c>
      <c r="K142" s="717" t="s">
        <v>782</v>
      </c>
      <c r="L142" s="720">
        <v>167.42002118722405</v>
      </c>
      <c r="M142" s="720">
        <v>12</v>
      </c>
      <c r="N142" s="721">
        <v>2009.0402542466886</v>
      </c>
    </row>
    <row r="143" spans="1:14" ht="14.45" customHeight="1" x14ac:dyDescent="0.2">
      <c r="A143" s="715" t="s">
        <v>518</v>
      </c>
      <c r="B143" s="716" t="s">
        <v>519</v>
      </c>
      <c r="C143" s="717" t="s">
        <v>531</v>
      </c>
      <c r="D143" s="718" t="s">
        <v>532</v>
      </c>
      <c r="E143" s="719">
        <v>50113001</v>
      </c>
      <c r="F143" s="718" t="s">
        <v>536</v>
      </c>
      <c r="G143" s="717" t="s">
        <v>537</v>
      </c>
      <c r="H143" s="717">
        <v>920154</v>
      </c>
      <c r="I143" s="717">
        <v>0</v>
      </c>
      <c r="J143" s="717" t="s">
        <v>783</v>
      </c>
      <c r="K143" s="717" t="s">
        <v>520</v>
      </c>
      <c r="L143" s="720">
        <v>306.48634272855429</v>
      </c>
      <c r="M143" s="720">
        <v>2</v>
      </c>
      <c r="N143" s="721">
        <v>612.97268545710858</v>
      </c>
    </row>
    <row r="144" spans="1:14" ht="14.45" customHeight="1" x14ac:dyDescent="0.2">
      <c r="A144" s="715" t="s">
        <v>518</v>
      </c>
      <c r="B144" s="716" t="s">
        <v>519</v>
      </c>
      <c r="C144" s="717" t="s">
        <v>531</v>
      </c>
      <c r="D144" s="718" t="s">
        <v>532</v>
      </c>
      <c r="E144" s="719">
        <v>50113001</v>
      </c>
      <c r="F144" s="718" t="s">
        <v>536</v>
      </c>
      <c r="G144" s="717" t="s">
        <v>537</v>
      </c>
      <c r="H144" s="717">
        <v>500088</v>
      </c>
      <c r="I144" s="717">
        <v>0</v>
      </c>
      <c r="J144" s="717" t="s">
        <v>784</v>
      </c>
      <c r="K144" s="717" t="s">
        <v>520</v>
      </c>
      <c r="L144" s="720">
        <v>236.59</v>
      </c>
      <c r="M144" s="720">
        <v>3</v>
      </c>
      <c r="N144" s="721">
        <v>709.77</v>
      </c>
    </row>
    <row r="145" spans="1:14" ht="14.45" customHeight="1" x14ac:dyDescent="0.2">
      <c r="A145" s="715" t="s">
        <v>518</v>
      </c>
      <c r="B145" s="716" t="s">
        <v>519</v>
      </c>
      <c r="C145" s="717" t="s">
        <v>531</v>
      </c>
      <c r="D145" s="718" t="s">
        <v>532</v>
      </c>
      <c r="E145" s="719">
        <v>50113001</v>
      </c>
      <c r="F145" s="718" t="s">
        <v>536</v>
      </c>
      <c r="G145" s="717" t="s">
        <v>537</v>
      </c>
      <c r="H145" s="717">
        <v>930043</v>
      </c>
      <c r="I145" s="717">
        <v>0</v>
      </c>
      <c r="J145" s="717" t="s">
        <v>785</v>
      </c>
      <c r="K145" s="717" t="s">
        <v>520</v>
      </c>
      <c r="L145" s="720">
        <v>31.87149823130618</v>
      </c>
      <c r="M145" s="720">
        <v>5</v>
      </c>
      <c r="N145" s="721">
        <v>159.3574911565309</v>
      </c>
    </row>
    <row r="146" spans="1:14" ht="14.45" customHeight="1" x14ac:dyDescent="0.2">
      <c r="A146" s="715" t="s">
        <v>518</v>
      </c>
      <c r="B146" s="716" t="s">
        <v>519</v>
      </c>
      <c r="C146" s="717" t="s">
        <v>531</v>
      </c>
      <c r="D146" s="718" t="s">
        <v>532</v>
      </c>
      <c r="E146" s="719">
        <v>50113001</v>
      </c>
      <c r="F146" s="718" t="s">
        <v>536</v>
      </c>
      <c r="G146" s="717" t="s">
        <v>537</v>
      </c>
      <c r="H146" s="717">
        <v>215476</v>
      </c>
      <c r="I146" s="717">
        <v>215476</v>
      </c>
      <c r="J146" s="717" t="s">
        <v>786</v>
      </c>
      <c r="K146" s="717" t="s">
        <v>787</v>
      </c>
      <c r="L146" s="720">
        <v>183.73000000000008</v>
      </c>
      <c r="M146" s="720">
        <v>1</v>
      </c>
      <c r="N146" s="721">
        <v>183.73000000000008</v>
      </c>
    </row>
    <row r="147" spans="1:14" ht="14.45" customHeight="1" x14ac:dyDescent="0.2">
      <c r="A147" s="715" t="s">
        <v>518</v>
      </c>
      <c r="B147" s="716" t="s">
        <v>519</v>
      </c>
      <c r="C147" s="717" t="s">
        <v>531</v>
      </c>
      <c r="D147" s="718" t="s">
        <v>532</v>
      </c>
      <c r="E147" s="719">
        <v>50113001</v>
      </c>
      <c r="F147" s="718" t="s">
        <v>536</v>
      </c>
      <c r="G147" s="717" t="s">
        <v>537</v>
      </c>
      <c r="H147" s="717">
        <v>183272</v>
      </c>
      <c r="I147" s="717">
        <v>215478</v>
      </c>
      <c r="J147" s="717" t="s">
        <v>788</v>
      </c>
      <c r="K147" s="717" t="s">
        <v>789</v>
      </c>
      <c r="L147" s="720">
        <v>161.73999999999995</v>
      </c>
      <c r="M147" s="720">
        <v>1</v>
      </c>
      <c r="N147" s="721">
        <v>161.73999999999995</v>
      </c>
    </row>
    <row r="148" spans="1:14" ht="14.45" customHeight="1" x14ac:dyDescent="0.2">
      <c r="A148" s="715" t="s">
        <v>518</v>
      </c>
      <c r="B148" s="716" t="s">
        <v>519</v>
      </c>
      <c r="C148" s="717" t="s">
        <v>531</v>
      </c>
      <c r="D148" s="718" t="s">
        <v>532</v>
      </c>
      <c r="E148" s="719">
        <v>50113001</v>
      </c>
      <c r="F148" s="718" t="s">
        <v>536</v>
      </c>
      <c r="G148" s="717" t="s">
        <v>537</v>
      </c>
      <c r="H148" s="717">
        <v>215473</v>
      </c>
      <c r="I148" s="717">
        <v>215473</v>
      </c>
      <c r="J148" s="717" t="s">
        <v>790</v>
      </c>
      <c r="K148" s="717" t="s">
        <v>791</v>
      </c>
      <c r="L148" s="720">
        <v>336.434705882353</v>
      </c>
      <c r="M148" s="720">
        <v>51</v>
      </c>
      <c r="N148" s="721">
        <v>17158.170000000002</v>
      </c>
    </row>
    <row r="149" spans="1:14" ht="14.45" customHeight="1" x14ac:dyDescent="0.2">
      <c r="A149" s="715" t="s">
        <v>518</v>
      </c>
      <c r="B149" s="716" t="s">
        <v>519</v>
      </c>
      <c r="C149" s="717" t="s">
        <v>531</v>
      </c>
      <c r="D149" s="718" t="s">
        <v>532</v>
      </c>
      <c r="E149" s="719">
        <v>50113001</v>
      </c>
      <c r="F149" s="718" t="s">
        <v>536</v>
      </c>
      <c r="G149" s="717" t="s">
        <v>537</v>
      </c>
      <c r="H149" s="717">
        <v>215474</v>
      </c>
      <c r="I149" s="717">
        <v>215474</v>
      </c>
      <c r="J149" s="717" t="s">
        <v>792</v>
      </c>
      <c r="K149" s="717" t="s">
        <v>793</v>
      </c>
      <c r="L149" s="720">
        <v>531.74794117647048</v>
      </c>
      <c r="M149" s="720">
        <v>34</v>
      </c>
      <c r="N149" s="721">
        <v>18079.429999999997</v>
      </c>
    </row>
    <row r="150" spans="1:14" ht="14.45" customHeight="1" x14ac:dyDescent="0.2">
      <c r="A150" s="715" t="s">
        <v>518</v>
      </c>
      <c r="B150" s="716" t="s">
        <v>519</v>
      </c>
      <c r="C150" s="717" t="s">
        <v>531</v>
      </c>
      <c r="D150" s="718" t="s">
        <v>532</v>
      </c>
      <c r="E150" s="719">
        <v>50113001</v>
      </c>
      <c r="F150" s="718" t="s">
        <v>536</v>
      </c>
      <c r="G150" s="717" t="s">
        <v>537</v>
      </c>
      <c r="H150" s="717">
        <v>192205</v>
      </c>
      <c r="I150" s="717">
        <v>192205</v>
      </c>
      <c r="J150" s="717" t="s">
        <v>794</v>
      </c>
      <c r="K150" s="717" t="s">
        <v>795</v>
      </c>
      <c r="L150" s="720">
        <v>87.769999999999982</v>
      </c>
      <c r="M150" s="720">
        <v>1</v>
      </c>
      <c r="N150" s="721">
        <v>87.769999999999982</v>
      </c>
    </row>
    <row r="151" spans="1:14" ht="14.45" customHeight="1" x14ac:dyDescent="0.2">
      <c r="A151" s="715" t="s">
        <v>518</v>
      </c>
      <c r="B151" s="716" t="s">
        <v>519</v>
      </c>
      <c r="C151" s="717" t="s">
        <v>531</v>
      </c>
      <c r="D151" s="718" t="s">
        <v>532</v>
      </c>
      <c r="E151" s="719">
        <v>50113001</v>
      </c>
      <c r="F151" s="718" t="s">
        <v>536</v>
      </c>
      <c r="G151" s="717" t="s">
        <v>537</v>
      </c>
      <c r="H151" s="717">
        <v>166015</v>
      </c>
      <c r="I151" s="717">
        <v>66015</v>
      </c>
      <c r="J151" s="717" t="s">
        <v>796</v>
      </c>
      <c r="K151" s="717" t="s">
        <v>797</v>
      </c>
      <c r="L151" s="720">
        <v>83.949999999999989</v>
      </c>
      <c r="M151" s="720">
        <v>1</v>
      </c>
      <c r="N151" s="721">
        <v>83.949999999999989</v>
      </c>
    </row>
    <row r="152" spans="1:14" ht="14.45" customHeight="1" x14ac:dyDescent="0.2">
      <c r="A152" s="715" t="s">
        <v>518</v>
      </c>
      <c r="B152" s="716" t="s">
        <v>519</v>
      </c>
      <c r="C152" s="717" t="s">
        <v>531</v>
      </c>
      <c r="D152" s="718" t="s">
        <v>532</v>
      </c>
      <c r="E152" s="719">
        <v>50113001</v>
      </c>
      <c r="F152" s="718" t="s">
        <v>536</v>
      </c>
      <c r="G152" s="717" t="s">
        <v>520</v>
      </c>
      <c r="H152" s="717">
        <v>217079</v>
      </c>
      <c r="I152" s="717">
        <v>217079</v>
      </c>
      <c r="J152" s="717" t="s">
        <v>798</v>
      </c>
      <c r="K152" s="717" t="s">
        <v>799</v>
      </c>
      <c r="L152" s="720">
        <v>161.68576923076924</v>
      </c>
      <c r="M152" s="720">
        <v>52</v>
      </c>
      <c r="N152" s="721">
        <v>8407.66</v>
      </c>
    </row>
    <row r="153" spans="1:14" ht="14.45" customHeight="1" x14ac:dyDescent="0.2">
      <c r="A153" s="715" t="s">
        <v>518</v>
      </c>
      <c r="B153" s="716" t="s">
        <v>519</v>
      </c>
      <c r="C153" s="717" t="s">
        <v>531</v>
      </c>
      <c r="D153" s="718" t="s">
        <v>532</v>
      </c>
      <c r="E153" s="719">
        <v>50113001</v>
      </c>
      <c r="F153" s="718" t="s">
        <v>536</v>
      </c>
      <c r="G153" s="717" t="s">
        <v>537</v>
      </c>
      <c r="H153" s="717">
        <v>447</v>
      </c>
      <c r="I153" s="717">
        <v>447</v>
      </c>
      <c r="J153" s="717" t="s">
        <v>800</v>
      </c>
      <c r="K153" s="717" t="s">
        <v>801</v>
      </c>
      <c r="L153" s="720">
        <v>179.34</v>
      </c>
      <c r="M153" s="720">
        <v>4</v>
      </c>
      <c r="N153" s="721">
        <v>717.36</v>
      </c>
    </row>
    <row r="154" spans="1:14" ht="14.45" customHeight="1" x14ac:dyDescent="0.2">
      <c r="A154" s="715" t="s">
        <v>518</v>
      </c>
      <c r="B154" s="716" t="s">
        <v>519</v>
      </c>
      <c r="C154" s="717" t="s">
        <v>531</v>
      </c>
      <c r="D154" s="718" t="s">
        <v>532</v>
      </c>
      <c r="E154" s="719">
        <v>50113001</v>
      </c>
      <c r="F154" s="718" t="s">
        <v>536</v>
      </c>
      <c r="G154" s="717" t="s">
        <v>537</v>
      </c>
      <c r="H154" s="717">
        <v>214593</v>
      </c>
      <c r="I154" s="717">
        <v>214593</v>
      </c>
      <c r="J154" s="717" t="s">
        <v>802</v>
      </c>
      <c r="K154" s="717" t="s">
        <v>803</v>
      </c>
      <c r="L154" s="720">
        <v>56.1</v>
      </c>
      <c r="M154" s="720">
        <v>6</v>
      </c>
      <c r="N154" s="721">
        <v>336.6</v>
      </c>
    </row>
    <row r="155" spans="1:14" ht="14.45" customHeight="1" x14ac:dyDescent="0.2">
      <c r="A155" s="715" t="s">
        <v>518</v>
      </c>
      <c r="B155" s="716" t="s">
        <v>519</v>
      </c>
      <c r="C155" s="717" t="s">
        <v>531</v>
      </c>
      <c r="D155" s="718" t="s">
        <v>532</v>
      </c>
      <c r="E155" s="719">
        <v>50113001</v>
      </c>
      <c r="F155" s="718" t="s">
        <v>536</v>
      </c>
      <c r="G155" s="717" t="s">
        <v>537</v>
      </c>
      <c r="H155" s="717">
        <v>199680</v>
      </c>
      <c r="I155" s="717">
        <v>199680</v>
      </c>
      <c r="J155" s="717" t="s">
        <v>804</v>
      </c>
      <c r="K155" s="717" t="s">
        <v>805</v>
      </c>
      <c r="L155" s="720">
        <v>362.92000000000007</v>
      </c>
      <c r="M155" s="720">
        <v>1</v>
      </c>
      <c r="N155" s="721">
        <v>362.92000000000007</v>
      </c>
    </row>
    <row r="156" spans="1:14" ht="14.45" customHeight="1" x14ac:dyDescent="0.2">
      <c r="A156" s="715" t="s">
        <v>518</v>
      </c>
      <c r="B156" s="716" t="s">
        <v>519</v>
      </c>
      <c r="C156" s="717" t="s">
        <v>531</v>
      </c>
      <c r="D156" s="718" t="s">
        <v>532</v>
      </c>
      <c r="E156" s="719">
        <v>50113001</v>
      </c>
      <c r="F156" s="718" t="s">
        <v>536</v>
      </c>
      <c r="G156" s="717" t="s">
        <v>537</v>
      </c>
      <c r="H156" s="717">
        <v>187076</v>
      </c>
      <c r="I156" s="717">
        <v>87076</v>
      </c>
      <c r="J156" s="717" t="s">
        <v>806</v>
      </c>
      <c r="K156" s="717" t="s">
        <v>807</v>
      </c>
      <c r="L156" s="720">
        <v>133.51000000000002</v>
      </c>
      <c r="M156" s="720">
        <v>2</v>
      </c>
      <c r="N156" s="721">
        <v>267.02000000000004</v>
      </c>
    </row>
    <row r="157" spans="1:14" ht="14.45" customHeight="1" x14ac:dyDescent="0.2">
      <c r="A157" s="715" t="s">
        <v>518</v>
      </c>
      <c r="B157" s="716" t="s">
        <v>519</v>
      </c>
      <c r="C157" s="717" t="s">
        <v>531</v>
      </c>
      <c r="D157" s="718" t="s">
        <v>532</v>
      </c>
      <c r="E157" s="719">
        <v>50113001</v>
      </c>
      <c r="F157" s="718" t="s">
        <v>536</v>
      </c>
      <c r="G157" s="717" t="s">
        <v>537</v>
      </c>
      <c r="H157" s="717">
        <v>192757</v>
      </c>
      <c r="I157" s="717">
        <v>92757</v>
      </c>
      <c r="J157" s="717" t="s">
        <v>806</v>
      </c>
      <c r="K157" s="717" t="s">
        <v>808</v>
      </c>
      <c r="L157" s="720">
        <v>73.975000000000009</v>
      </c>
      <c r="M157" s="720">
        <v>2</v>
      </c>
      <c r="N157" s="721">
        <v>147.95000000000002</v>
      </c>
    </row>
    <row r="158" spans="1:14" ht="14.45" customHeight="1" x14ac:dyDescent="0.2">
      <c r="A158" s="715" t="s">
        <v>518</v>
      </c>
      <c r="B158" s="716" t="s">
        <v>519</v>
      </c>
      <c r="C158" s="717" t="s">
        <v>531</v>
      </c>
      <c r="D158" s="718" t="s">
        <v>532</v>
      </c>
      <c r="E158" s="719">
        <v>50113001</v>
      </c>
      <c r="F158" s="718" t="s">
        <v>536</v>
      </c>
      <c r="G158" s="717" t="s">
        <v>537</v>
      </c>
      <c r="H158" s="717">
        <v>157586</v>
      </c>
      <c r="I158" s="717">
        <v>57586</v>
      </c>
      <c r="J158" s="717" t="s">
        <v>809</v>
      </c>
      <c r="K158" s="717" t="s">
        <v>810</v>
      </c>
      <c r="L158" s="720">
        <v>73.70999999999998</v>
      </c>
      <c r="M158" s="720">
        <v>1</v>
      </c>
      <c r="N158" s="721">
        <v>73.70999999999998</v>
      </c>
    </row>
    <row r="159" spans="1:14" ht="14.45" customHeight="1" x14ac:dyDescent="0.2">
      <c r="A159" s="715" t="s">
        <v>518</v>
      </c>
      <c r="B159" s="716" t="s">
        <v>519</v>
      </c>
      <c r="C159" s="717" t="s">
        <v>531</v>
      </c>
      <c r="D159" s="718" t="s">
        <v>532</v>
      </c>
      <c r="E159" s="719">
        <v>50113001</v>
      </c>
      <c r="F159" s="718" t="s">
        <v>536</v>
      </c>
      <c r="G159" s="717" t="s">
        <v>537</v>
      </c>
      <c r="H159" s="717">
        <v>846413</v>
      </c>
      <c r="I159" s="717">
        <v>57585</v>
      </c>
      <c r="J159" s="717" t="s">
        <v>811</v>
      </c>
      <c r="K159" s="717" t="s">
        <v>812</v>
      </c>
      <c r="L159" s="720">
        <v>133.22666666666669</v>
      </c>
      <c r="M159" s="720">
        <v>3</v>
      </c>
      <c r="N159" s="721">
        <v>399.68000000000006</v>
      </c>
    </row>
    <row r="160" spans="1:14" ht="14.45" customHeight="1" x14ac:dyDescent="0.2">
      <c r="A160" s="715" t="s">
        <v>518</v>
      </c>
      <c r="B160" s="716" t="s">
        <v>519</v>
      </c>
      <c r="C160" s="717" t="s">
        <v>531</v>
      </c>
      <c r="D160" s="718" t="s">
        <v>532</v>
      </c>
      <c r="E160" s="719">
        <v>50113001</v>
      </c>
      <c r="F160" s="718" t="s">
        <v>536</v>
      </c>
      <c r="G160" s="717" t="s">
        <v>537</v>
      </c>
      <c r="H160" s="717">
        <v>500618</v>
      </c>
      <c r="I160" s="717">
        <v>125753</v>
      </c>
      <c r="J160" s="717" t="s">
        <v>813</v>
      </c>
      <c r="K160" s="717" t="s">
        <v>814</v>
      </c>
      <c r="L160" s="720">
        <v>300.89000000000004</v>
      </c>
      <c r="M160" s="720">
        <v>1</v>
      </c>
      <c r="N160" s="721">
        <v>300.89000000000004</v>
      </c>
    </row>
    <row r="161" spans="1:14" ht="14.45" customHeight="1" x14ac:dyDescent="0.2">
      <c r="A161" s="715" t="s">
        <v>518</v>
      </c>
      <c r="B161" s="716" t="s">
        <v>519</v>
      </c>
      <c r="C161" s="717" t="s">
        <v>531</v>
      </c>
      <c r="D161" s="718" t="s">
        <v>532</v>
      </c>
      <c r="E161" s="719">
        <v>50113001</v>
      </c>
      <c r="F161" s="718" t="s">
        <v>536</v>
      </c>
      <c r="G161" s="717" t="s">
        <v>552</v>
      </c>
      <c r="H161" s="717">
        <v>169189</v>
      </c>
      <c r="I161" s="717">
        <v>69189</v>
      </c>
      <c r="J161" s="717" t="s">
        <v>815</v>
      </c>
      <c r="K161" s="717" t="s">
        <v>816</v>
      </c>
      <c r="L161" s="720">
        <v>61.107499999999995</v>
      </c>
      <c r="M161" s="720">
        <v>4</v>
      </c>
      <c r="N161" s="721">
        <v>244.42999999999998</v>
      </c>
    </row>
    <row r="162" spans="1:14" ht="14.45" customHeight="1" x14ac:dyDescent="0.2">
      <c r="A162" s="715" t="s">
        <v>518</v>
      </c>
      <c r="B162" s="716" t="s">
        <v>519</v>
      </c>
      <c r="C162" s="717" t="s">
        <v>531</v>
      </c>
      <c r="D162" s="718" t="s">
        <v>532</v>
      </c>
      <c r="E162" s="719">
        <v>50113001</v>
      </c>
      <c r="F162" s="718" t="s">
        <v>536</v>
      </c>
      <c r="G162" s="717" t="s">
        <v>552</v>
      </c>
      <c r="H162" s="717">
        <v>146692</v>
      </c>
      <c r="I162" s="717">
        <v>46692</v>
      </c>
      <c r="J162" s="717" t="s">
        <v>817</v>
      </c>
      <c r="K162" s="717" t="s">
        <v>818</v>
      </c>
      <c r="L162" s="720">
        <v>77.659999999999982</v>
      </c>
      <c r="M162" s="720">
        <v>1</v>
      </c>
      <c r="N162" s="721">
        <v>77.659999999999982</v>
      </c>
    </row>
    <row r="163" spans="1:14" ht="14.45" customHeight="1" x14ac:dyDescent="0.2">
      <c r="A163" s="715" t="s">
        <v>518</v>
      </c>
      <c r="B163" s="716" t="s">
        <v>519</v>
      </c>
      <c r="C163" s="717" t="s">
        <v>531</v>
      </c>
      <c r="D163" s="718" t="s">
        <v>532</v>
      </c>
      <c r="E163" s="719">
        <v>50113001</v>
      </c>
      <c r="F163" s="718" t="s">
        <v>536</v>
      </c>
      <c r="G163" s="717" t="s">
        <v>537</v>
      </c>
      <c r="H163" s="717">
        <v>149990</v>
      </c>
      <c r="I163" s="717">
        <v>49990</v>
      </c>
      <c r="J163" s="717" t="s">
        <v>819</v>
      </c>
      <c r="K163" s="717" t="s">
        <v>820</v>
      </c>
      <c r="L163" s="720">
        <v>130.36736434108531</v>
      </c>
      <c r="M163" s="720">
        <v>129</v>
      </c>
      <c r="N163" s="721">
        <v>16817.390000000003</v>
      </c>
    </row>
    <row r="164" spans="1:14" ht="14.45" customHeight="1" x14ac:dyDescent="0.2">
      <c r="A164" s="715" t="s">
        <v>518</v>
      </c>
      <c r="B164" s="716" t="s">
        <v>519</v>
      </c>
      <c r="C164" s="717" t="s">
        <v>531</v>
      </c>
      <c r="D164" s="718" t="s">
        <v>532</v>
      </c>
      <c r="E164" s="719">
        <v>50113001</v>
      </c>
      <c r="F164" s="718" t="s">
        <v>536</v>
      </c>
      <c r="G164" s="717" t="s">
        <v>537</v>
      </c>
      <c r="H164" s="717">
        <v>116462</v>
      </c>
      <c r="I164" s="717">
        <v>238146</v>
      </c>
      <c r="J164" s="717" t="s">
        <v>821</v>
      </c>
      <c r="K164" s="717" t="s">
        <v>822</v>
      </c>
      <c r="L164" s="720">
        <v>134</v>
      </c>
      <c r="M164" s="720">
        <v>1</v>
      </c>
      <c r="N164" s="721">
        <v>134</v>
      </c>
    </row>
    <row r="165" spans="1:14" ht="14.45" customHeight="1" x14ac:dyDescent="0.2">
      <c r="A165" s="715" t="s">
        <v>518</v>
      </c>
      <c r="B165" s="716" t="s">
        <v>519</v>
      </c>
      <c r="C165" s="717" t="s">
        <v>531</v>
      </c>
      <c r="D165" s="718" t="s">
        <v>532</v>
      </c>
      <c r="E165" s="719">
        <v>50113001</v>
      </c>
      <c r="F165" s="718" t="s">
        <v>536</v>
      </c>
      <c r="G165" s="717" t="s">
        <v>537</v>
      </c>
      <c r="H165" s="717">
        <v>214595</v>
      </c>
      <c r="I165" s="717">
        <v>214595</v>
      </c>
      <c r="J165" s="717" t="s">
        <v>823</v>
      </c>
      <c r="K165" s="717" t="s">
        <v>824</v>
      </c>
      <c r="L165" s="720">
        <v>127.78999999999998</v>
      </c>
      <c r="M165" s="720">
        <v>1</v>
      </c>
      <c r="N165" s="721">
        <v>127.78999999999998</v>
      </c>
    </row>
    <row r="166" spans="1:14" ht="14.45" customHeight="1" x14ac:dyDescent="0.2">
      <c r="A166" s="715" t="s">
        <v>518</v>
      </c>
      <c r="B166" s="716" t="s">
        <v>519</v>
      </c>
      <c r="C166" s="717" t="s">
        <v>531</v>
      </c>
      <c r="D166" s="718" t="s">
        <v>532</v>
      </c>
      <c r="E166" s="719">
        <v>50113001</v>
      </c>
      <c r="F166" s="718" t="s">
        <v>536</v>
      </c>
      <c r="G166" s="717" t="s">
        <v>537</v>
      </c>
      <c r="H166" s="717">
        <v>848992</v>
      </c>
      <c r="I166" s="717">
        <v>119658</v>
      </c>
      <c r="J166" s="717" t="s">
        <v>825</v>
      </c>
      <c r="K166" s="717" t="s">
        <v>826</v>
      </c>
      <c r="L166" s="720">
        <v>73.48</v>
      </c>
      <c r="M166" s="720">
        <v>1</v>
      </c>
      <c r="N166" s="721">
        <v>73.48</v>
      </c>
    </row>
    <row r="167" spans="1:14" ht="14.45" customHeight="1" x14ac:dyDescent="0.2">
      <c r="A167" s="715" t="s">
        <v>518</v>
      </c>
      <c r="B167" s="716" t="s">
        <v>519</v>
      </c>
      <c r="C167" s="717" t="s">
        <v>531</v>
      </c>
      <c r="D167" s="718" t="s">
        <v>532</v>
      </c>
      <c r="E167" s="719">
        <v>50113001</v>
      </c>
      <c r="F167" s="718" t="s">
        <v>536</v>
      </c>
      <c r="G167" s="717" t="s">
        <v>537</v>
      </c>
      <c r="H167" s="717">
        <v>214598</v>
      </c>
      <c r="I167" s="717">
        <v>214598</v>
      </c>
      <c r="J167" s="717" t="s">
        <v>827</v>
      </c>
      <c r="K167" s="717" t="s">
        <v>828</v>
      </c>
      <c r="L167" s="720">
        <v>174.81</v>
      </c>
      <c r="M167" s="720">
        <v>1</v>
      </c>
      <c r="N167" s="721">
        <v>174.81</v>
      </c>
    </row>
    <row r="168" spans="1:14" ht="14.45" customHeight="1" x14ac:dyDescent="0.2">
      <c r="A168" s="715" t="s">
        <v>518</v>
      </c>
      <c r="B168" s="716" t="s">
        <v>519</v>
      </c>
      <c r="C168" s="717" t="s">
        <v>531</v>
      </c>
      <c r="D168" s="718" t="s">
        <v>532</v>
      </c>
      <c r="E168" s="719">
        <v>50113001</v>
      </c>
      <c r="F168" s="718" t="s">
        <v>536</v>
      </c>
      <c r="G168" s="717" t="s">
        <v>537</v>
      </c>
      <c r="H168" s="717">
        <v>229132</v>
      </c>
      <c r="I168" s="717">
        <v>229132</v>
      </c>
      <c r="J168" s="717" t="s">
        <v>829</v>
      </c>
      <c r="K168" s="717" t="s">
        <v>830</v>
      </c>
      <c r="L168" s="720">
        <v>88.63</v>
      </c>
      <c r="M168" s="720">
        <v>6</v>
      </c>
      <c r="N168" s="721">
        <v>531.78</v>
      </c>
    </row>
    <row r="169" spans="1:14" ht="14.45" customHeight="1" x14ac:dyDescent="0.2">
      <c r="A169" s="715" t="s">
        <v>518</v>
      </c>
      <c r="B169" s="716" t="s">
        <v>519</v>
      </c>
      <c r="C169" s="717" t="s">
        <v>531</v>
      </c>
      <c r="D169" s="718" t="s">
        <v>532</v>
      </c>
      <c r="E169" s="719">
        <v>50113001</v>
      </c>
      <c r="F169" s="718" t="s">
        <v>536</v>
      </c>
      <c r="G169" s="717" t="s">
        <v>537</v>
      </c>
      <c r="H169" s="717">
        <v>126898</v>
      </c>
      <c r="I169" s="717">
        <v>126898</v>
      </c>
      <c r="J169" s="717" t="s">
        <v>831</v>
      </c>
      <c r="K169" s="717" t="s">
        <v>832</v>
      </c>
      <c r="L169" s="720">
        <v>1043.02</v>
      </c>
      <c r="M169" s="720">
        <v>1</v>
      </c>
      <c r="N169" s="721">
        <v>1043.02</v>
      </c>
    </row>
    <row r="170" spans="1:14" ht="14.45" customHeight="1" x14ac:dyDescent="0.2">
      <c r="A170" s="715" t="s">
        <v>518</v>
      </c>
      <c r="B170" s="716" t="s">
        <v>519</v>
      </c>
      <c r="C170" s="717" t="s">
        <v>531</v>
      </c>
      <c r="D170" s="718" t="s">
        <v>532</v>
      </c>
      <c r="E170" s="719">
        <v>50113001</v>
      </c>
      <c r="F170" s="718" t="s">
        <v>536</v>
      </c>
      <c r="G170" s="717" t="s">
        <v>537</v>
      </c>
      <c r="H170" s="717">
        <v>216978</v>
      </c>
      <c r="I170" s="717">
        <v>216978</v>
      </c>
      <c r="J170" s="717" t="s">
        <v>833</v>
      </c>
      <c r="K170" s="717" t="s">
        <v>834</v>
      </c>
      <c r="L170" s="720">
        <v>291.61999999999995</v>
      </c>
      <c r="M170" s="720">
        <v>1</v>
      </c>
      <c r="N170" s="721">
        <v>291.61999999999995</v>
      </c>
    </row>
    <row r="171" spans="1:14" ht="14.45" customHeight="1" x14ac:dyDescent="0.2">
      <c r="A171" s="715" t="s">
        <v>518</v>
      </c>
      <c r="B171" s="716" t="s">
        <v>519</v>
      </c>
      <c r="C171" s="717" t="s">
        <v>531</v>
      </c>
      <c r="D171" s="718" t="s">
        <v>532</v>
      </c>
      <c r="E171" s="719">
        <v>50113001</v>
      </c>
      <c r="F171" s="718" t="s">
        <v>536</v>
      </c>
      <c r="G171" s="717" t="s">
        <v>537</v>
      </c>
      <c r="H171" s="717">
        <v>152334</v>
      </c>
      <c r="I171" s="717">
        <v>52334</v>
      </c>
      <c r="J171" s="717" t="s">
        <v>835</v>
      </c>
      <c r="K171" s="717" t="s">
        <v>836</v>
      </c>
      <c r="L171" s="720">
        <v>198.00000000000006</v>
      </c>
      <c r="M171" s="720">
        <v>1</v>
      </c>
      <c r="N171" s="721">
        <v>198.00000000000006</v>
      </c>
    </row>
    <row r="172" spans="1:14" ht="14.45" customHeight="1" x14ac:dyDescent="0.2">
      <c r="A172" s="715" t="s">
        <v>518</v>
      </c>
      <c r="B172" s="716" t="s">
        <v>519</v>
      </c>
      <c r="C172" s="717" t="s">
        <v>531</v>
      </c>
      <c r="D172" s="718" t="s">
        <v>532</v>
      </c>
      <c r="E172" s="719">
        <v>50113001</v>
      </c>
      <c r="F172" s="718" t="s">
        <v>536</v>
      </c>
      <c r="G172" s="717" t="s">
        <v>537</v>
      </c>
      <c r="H172" s="717">
        <v>158827</v>
      </c>
      <c r="I172" s="717">
        <v>58827</v>
      </c>
      <c r="J172" s="717" t="s">
        <v>837</v>
      </c>
      <c r="K172" s="717" t="s">
        <v>838</v>
      </c>
      <c r="L172" s="720">
        <v>162.48999999999998</v>
      </c>
      <c r="M172" s="720">
        <v>2</v>
      </c>
      <c r="N172" s="721">
        <v>324.97999999999996</v>
      </c>
    </row>
    <row r="173" spans="1:14" ht="14.45" customHeight="1" x14ac:dyDescent="0.2">
      <c r="A173" s="715" t="s">
        <v>518</v>
      </c>
      <c r="B173" s="716" t="s">
        <v>519</v>
      </c>
      <c r="C173" s="717" t="s">
        <v>531</v>
      </c>
      <c r="D173" s="718" t="s">
        <v>532</v>
      </c>
      <c r="E173" s="719">
        <v>50113001</v>
      </c>
      <c r="F173" s="718" t="s">
        <v>536</v>
      </c>
      <c r="G173" s="717" t="s">
        <v>552</v>
      </c>
      <c r="H173" s="717">
        <v>213477</v>
      </c>
      <c r="I173" s="717">
        <v>213477</v>
      </c>
      <c r="J173" s="717" t="s">
        <v>839</v>
      </c>
      <c r="K173" s="717" t="s">
        <v>840</v>
      </c>
      <c r="L173" s="720">
        <v>3300</v>
      </c>
      <c r="M173" s="720">
        <v>38</v>
      </c>
      <c r="N173" s="721">
        <v>125400</v>
      </c>
    </row>
    <row r="174" spans="1:14" ht="14.45" customHeight="1" x14ac:dyDescent="0.2">
      <c r="A174" s="715" t="s">
        <v>518</v>
      </c>
      <c r="B174" s="716" t="s">
        <v>519</v>
      </c>
      <c r="C174" s="717" t="s">
        <v>531</v>
      </c>
      <c r="D174" s="718" t="s">
        <v>532</v>
      </c>
      <c r="E174" s="719">
        <v>50113001</v>
      </c>
      <c r="F174" s="718" t="s">
        <v>536</v>
      </c>
      <c r="G174" s="717" t="s">
        <v>552</v>
      </c>
      <c r="H174" s="717">
        <v>213489</v>
      </c>
      <c r="I174" s="717">
        <v>213489</v>
      </c>
      <c r="J174" s="717" t="s">
        <v>841</v>
      </c>
      <c r="K174" s="717" t="s">
        <v>842</v>
      </c>
      <c r="L174" s="720">
        <v>630.66000000000008</v>
      </c>
      <c r="M174" s="720">
        <v>5</v>
      </c>
      <c r="N174" s="721">
        <v>3153.3</v>
      </c>
    </row>
    <row r="175" spans="1:14" ht="14.45" customHeight="1" x14ac:dyDescent="0.2">
      <c r="A175" s="715" t="s">
        <v>518</v>
      </c>
      <c r="B175" s="716" t="s">
        <v>519</v>
      </c>
      <c r="C175" s="717" t="s">
        <v>531</v>
      </c>
      <c r="D175" s="718" t="s">
        <v>532</v>
      </c>
      <c r="E175" s="719">
        <v>50113001</v>
      </c>
      <c r="F175" s="718" t="s">
        <v>536</v>
      </c>
      <c r="G175" s="717" t="s">
        <v>552</v>
      </c>
      <c r="H175" s="717">
        <v>156804</v>
      </c>
      <c r="I175" s="717">
        <v>56804</v>
      </c>
      <c r="J175" s="717" t="s">
        <v>843</v>
      </c>
      <c r="K175" s="717" t="s">
        <v>844</v>
      </c>
      <c r="L175" s="720">
        <v>31.609999999999996</v>
      </c>
      <c r="M175" s="720">
        <v>1</v>
      </c>
      <c r="N175" s="721">
        <v>31.609999999999996</v>
      </c>
    </row>
    <row r="176" spans="1:14" ht="14.45" customHeight="1" x14ac:dyDescent="0.2">
      <c r="A176" s="715" t="s">
        <v>518</v>
      </c>
      <c r="B176" s="716" t="s">
        <v>519</v>
      </c>
      <c r="C176" s="717" t="s">
        <v>531</v>
      </c>
      <c r="D176" s="718" t="s">
        <v>532</v>
      </c>
      <c r="E176" s="719">
        <v>50113001</v>
      </c>
      <c r="F176" s="718" t="s">
        <v>536</v>
      </c>
      <c r="G176" s="717" t="s">
        <v>552</v>
      </c>
      <c r="H176" s="717">
        <v>156805</v>
      </c>
      <c r="I176" s="717">
        <v>56805</v>
      </c>
      <c r="J176" s="717" t="s">
        <v>843</v>
      </c>
      <c r="K176" s="717" t="s">
        <v>845</v>
      </c>
      <c r="L176" s="720">
        <v>58.710000000000015</v>
      </c>
      <c r="M176" s="720">
        <v>1</v>
      </c>
      <c r="N176" s="721">
        <v>58.710000000000015</v>
      </c>
    </row>
    <row r="177" spans="1:14" ht="14.45" customHeight="1" x14ac:dyDescent="0.2">
      <c r="A177" s="715" t="s">
        <v>518</v>
      </c>
      <c r="B177" s="716" t="s">
        <v>519</v>
      </c>
      <c r="C177" s="717" t="s">
        <v>531</v>
      </c>
      <c r="D177" s="718" t="s">
        <v>532</v>
      </c>
      <c r="E177" s="719">
        <v>50113001</v>
      </c>
      <c r="F177" s="718" t="s">
        <v>536</v>
      </c>
      <c r="G177" s="717" t="s">
        <v>520</v>
      </c>
      <c r="H177" s="717">
        <v>102785</v>
      </c>
      <c r="I177" s="717">
        <v>2785</v>
      </c>
      <c r="J177" s="717" t="s">
        <v>846</v>
      </c>
      <c r="K177" s="717" t="s">
        <v>847</v>
      </c>
      <c r="L177" s="720">
        <v>50.19</v>
      </c>
      <c r="M177" s="720">
        <v>1</v>
      </c>
      <c r="N177" s="721">
        <v>50.19</v>
      </c>
    </row>
    <row r="178" spans="1:14" ht="14.45" customHeight="1" x14ac:dyDescent="0.2">
      <c r="A178" s="715" t="s">
        <v>518</v>
      </c>
      <c r="B178" s="716" t="s">
        <v>519</v>
      </c>
      <c r="C178" s="717" t="s">
        <v>531</v>
      </c>
      <c r="D178" s="718" t="s">
        <v>532</v>
      </c>
      <c r="E178" s="719">
        <v>50113001</v>
      </c>
      <c r="F178" s="718" t="s">
        <v>536</v>
      </c>
      <c r="G178" s="717" t="s">
        <v>552</v>
      </c>
      <c r="H178" s="717">
        <v>214036</v>
      </c>
      <c r="I178" s="717">
        <v>214036</v>
      </c>
      <c r="J178" s="717" t="s">
        <v>848</v>
      </c>
      <c r="K178" s="717" t="s">
        <v>849</v>
      </c>
      <c r="L178" s="720">
        <v>40.348844984802426</v>
      </c>
      <c r="M178" s="720">
        <v>658</v>
      </c>
      <c r="N178" s="721">
        <v>26549.539999999997</v>
      </c>
    </row>
    <row r="179" spans="1:14" ht="14.45" customHeight="1" x14ac:dyDescent="0.2">
      <c r="A179" s="715" t="s">
        <v>518</v>
      </c>
      <c r="B179" s="716" t="s">
        <v>519</v>
      </c>
      <c r="C179" s="717" t="s">
        <v>531</v>
      </c>
      <c r="D179" s="718" t="s">
        <v>532</v>
      </c>
      <c r="E179" s="719">
        <v>50113001</v>
      </c>
      <c r="F179" s="718" t="s">
        <v>536</v>
      </c>
      <c r="G179" s="717" t="s">
        <v>537</v>
      </c>
      <c r="H179" s="717">
        <v>199333</v>
      </c>
      <c r="I179" s="717">
        <v>99333</v>
      </c>
      <c r="J179" s="717" t="s">
        <v>850</v>
      </c>
      <c r="K179" s="717" t="s">
        <v>851</v>
      </c>
      <c r="L179" s="720">
        <v>246.89583892617458</v>
      </c>
      <c r="M179" s="720">
        <v>149</v>
      </c>
      <c r="N179" s="721">
        <v>36787.48000000001</v>
      </c>
    </row>
    <row r="180" spans="1:14" ht="14.45" customHeight="1" x14ac:dyDescent="0.2">
      <c r="A180" s="715" t="s">
        <v>518</v>
      </c>
      <c r="B180" s="716" t="s">
        <v>519</v>
      </c>
      <c r="C180" s="717" t="s">
        <v>531</v>
      </c>
      <c r="D180" s="718" t="s">
        <v>532</v>
      </c>
      <c r="E180" s="719">
        <v>50113001</v>
      </c>
      <c r="F180" s="718" t="s">
        <v>536</v>
      </c>
      <c r="G180" s="717" t="s">
        <v>537</v>
      </c>
      <c r="H180" s="717">
        <v>165633</v>
      </c>
      <c r="I180" s="717">
        <v>165751</v>
      </c>
      <c r="J180" s="717" t="s">
        <v>852</v>
      </c>
      <c r="K180" s="717" t="s">
        <v>853</v>
      </c>
      <c r="L180" s="720">
        <v>3951.64</v>
      </c>
      <c r="M180" s="720">
        <v>15</v>
      </c>
      <c r="N180" s="721">
        <v>59274.6</v>
      </c>
    </row>
    <row r="181" spans="1:14" ht="14.45" customHeight="1" x14ac:dyDescent="0.2">
      <c r="A181" s="715" t="s">
        <v>518</v>
      </c>
      <c r="B181" s="716" t="s">
        <v>519</v>
      </c>
      <c r="C181" s="717" t="s">
        <v>531</v>
      </c>
      <c r="D181" s="718" t="s">
        <v>532</v>
      </c>
      <c r="E181" s="719">
        <v>50113001</v>
      </c>
      <c r="F181" s="718" t="s">
        <v>536</v>
      </c>
      <c r="G181" s="717" t="s">
        <v>537</v>
      </c>
      <c r="H181" s="717">
        <v>111337</v>
      </c>
      <c r="I181" s="717">
        <v>52421</v>
      </c>
      <c r="J181" s="717" t="s">
        <v>854</v>
      </c>
      <c r="K181" s="717" t="s">
        <v>855</v>
      </c>
      <c r="L181" s="720">
        <v>74.721770833333309</v>
      </c>
      <c r="M181" s="720">
        <v>96</v>
      </c>
      <c r="N181" s="721">
        <v>7173.2899999999981</v>
      </c>
    </row>
    <row r="182" spans="1:14" ht="14.45" customHeight="1" x14ac:dyDescent="0.2">
      <c r="A182" s="715" t="s">
        <v>518</v>
      </c>
      <c r="B182" s="716" t="s">
        <v>519</v>
      </c>
      <c r="C182" s="717" t="s">
        <v>531</v>
      </c>
      <c r="D182" s="718" t="s">
        <v>532</v>
      </c>
      <c r="E182" s="719">
        <v>50113001</v>
      </c>
      <c r="F182" s="718" t="s">
        <v>536</v>
      </c>
      <c r="G182" s="717" t="s">
        <v>520</v>
      </c>
      <c r="H182" s="717">
        <v>123793</v>
      </c>
      <c r="I182" s="717">
        <v>23793</v>
      </c>
      <c r="J182" s="717" t="s">
        <v>856</v>
      </c>
      <c r="K182" s="717" t="s">
        <v>857</v>
      </c>
      <c r="L182" s="720">
        <v>63.350000000000016</v>
      </c>
      <c r="M182" s="720">
        <v>1</v>
      </c>
      <c r="N182" s="721">
        <v>63.350000000000016</v>
      </c>
    </row>
    <row r="183" spans="1:14" ht="14.45" customHeight="1" x14ac:dyDescent="0.2">
      <c r="A183" s="715" t="s">
        <v>518</v>
      </c>
      <c r="B183" s="716" t="s">
        <v>519</v>
      </c>
      <c r="C183" s="717" t="s">
        <v>531</v>
      </c>
      <c r="D183" s="718" t="s">
        <v>532</v>
      </c>
      <c r="E183" s="719">
        <v>50113001</v>
      </c>
      <c r="F183" s="718" t="s">
        <v>536</v>
      </c>
      <c r="G183" s="717" t="s">
        <v>537</v>
      </c>
      <c r="H183" s="717">
        <v>31915</v>
      </c>
      <c r="I183" s="717">
        <v>31915</v>
      </c>
      <c r="J183" s="717" t="s">
        <v>858</v>
      </c>
      <c r="K183" s="717" t="s">
        <v>859</v>
      </c>
      <c r="L183" s="720">
        <v>173.69000000000003</v>
      </c>
      <c r="M183" s="720">
        <v>220</v>
      </c>
      <c r="N183" s="721">
        <v>38211.800000000003</v>
      </c>
    </row>
    <row r="184" spans="1:14" ht="14.45" customHeight="1" x14ac:dyDescent="0.2">
      <c r="A184" s="715" t="s">
        <v>518</v>
      </c>
      <c r="B184" s="716" t="s">
        <v>519</v>
      </c>
      <c r="C184" s="717" t="s">
        <v>531</v>
      </c>
      <c r="D184" s="718" t="s">
        <v>532</v>
      </c>
      <c r="E184" s="719">
        <v>50113001</v>
      </c>
      <c r="F184" s="718" t="s">
        <v>536</v>
      </c>
      <c r="G184" s="717" t="s">
        <v>537</v>
      </c>
      <c r="H184" s="717">
        <v>47706</v>
      </c>
      <c r="I184" s="717">
        <v>47706</v>
      </c>
      <c r="J184" s="717" t="s">
        <v>860</v>
      </c>
      <c r="K184" s="717" t="s">
        <v>861</v>
      </c>
      <c r="L184" s="720">
        <v>288.52999999999997</v>
      </c>
      <c r="M184" s="720">
        <v>10</v>
      </c>
      <c r="N184" s="721">
        <v>2885.2999999999997</v>
      </c>
    </row>
    <row r="185" spans="1:14" ht="14.45" customHeight="1" x14ac:dyDescent="0.2">
      <c r="A185" s="715" t="s">
        <v>518</v>
      </c>
      <c r="B185" s="716" t="s">
        <v>519</v>
      </c>
      <c r="C185" s="717" t="s">
        <v>531</v>
      </c>
      <c r="D185" s="718" t="s">
        <v>532</v>
      </c>
      <c r="E185" s="719">
        <v>50113001</v>
      </c>
      <c r="F185" s="718" t="s">
        <v>536</v>
      </c>
      <c r="G185" s="717" t="s">
        <v>537</v>
      </c>
      <c r="H185" s="717">
        <v>2584</v>
      </c>
      <c r="I185" s="717">
        <v>2584</v>
      </c>
      <c r="J185" s="717" t="s">
        <v>862</v>
      </c>
      <c r="K185" s="717" t="s">
        <v>859</v>
      </c>
      <c r="L185" s="720">
        <v>365.97</v>
      </c>
      <c r="M185" s="720">
        <v>1</v>
      </c>
      <c r="N185" s="721">
        <v>365.97</v>
      </c>
    </row>
    <row r="186" spans="1:14" ht="14.45" customHeight="1" x14ac:dyDescent="0.2">
      <c r="A186" s="715" t="s">
        <v>518</v>
      </c>
      <c r="B186" s="716" t="s">
        <v>519</v>
      </c>
      <c r="C186" s="717" t="s">
        <v>531</v>
      </c>
      <c r="D186" s="718" t="s">
        <v>532</v>
      </c>
      <c r="E186" s="719">
        <v>50113001</v>
      </c>
      <c r="F186" s="718" t="s">
        <v>536</v>
      </c>
      <c r="G186" s="717" t="s">
        <v>537</v>
      </c>
      <c r="H186" s="717">
        <v>207771</v>
      </c>
      <c r="I186" s="717">
        <v>207771</v>
      </c>
      <c r="J186" s="717" t="s">
        <v>862</v>
      </c>
      <c r="K186" s="717" t="s">
        <v>863</v>
      </c>
      <c r="L186" s="720">
        <v>365.97</v>
      </c>
      <c r="M186" s="720">
        <v>2</v>
      </c>
      <c r="N186" s="721">
        <v>731.94</v>
      </c>
    </row>
    <row r="187" spans="1:14" ht="14.45" customHeight="1" x14ac:dyDescent="0.2">
      <c r="A187" s="715" t="s">
        <v>518</v>
      </c>
      <c r="B187" s="716" t="s">
        <v>519</v>
      </c>
      <c r="C187" s="717" t="s">
        <v>531</v>
      </c>
      <c r="D187" s="718" t="s">
        <v>532</v>
      </c>
      <c r="E187" s="719">
        <v>50113001</v>
      </c>
      <c r="F187" s="718" t="s">
        <v>536</v>
      </c>
      <c r="G187" s="717" t="s">
        <v>537</v>
      </c>
      <c r="H187" s="717">
        <v>47256</v>
      </c>
      <c r="I187" s="717">
        <v>47256</v>
      </c>
      <c r="J187" s="717" t="s">
        <v>864</v>
      </c>
      <c r="K187" s="717" t="s">
        <v>865</v>
      </c>
      <c r="L187" s="720">
        <v>222.20000000000005</v>
      </c>
      <c r="M187" s="720">
        <v>2</v>
      </c>
      <c r="N187" s="721">
        <v>444.40000000000009</v>
      </c>
    </row>
    <row r="188" spans="1:14" ht="14.45" customHeight="1" x14ac:dyDescent="0.2">
      <c r="A188" s="715" t="s">
        <v>518</v>
      </c>
      <c r="B188" s="716" t="s">
        <v>519</v>
      </c>
      <c r="C188" s="717" t="s">
        <v>531</v>
      </c>
      <c r="D188" s="718" t="s">
        <v>532</v>
      </c>
      <c r="E188" s="719">
        <v>50113001</v>
      </c>
      <c r="F188" s="718" t="s">
        <v>536</v>
      </c>
      <c r="G188" s="717" t="s">
        <v>537</v>
      </c>
      <c r="H188" s="717">
        <v>47244</v>
      </c>
      <c r="I188" s="717">
        <v>47244</v>
      </c>
      <c r="J188" s="717" t="s">
        <v>864</v>
      </c>
      <c r="K188" s="717" t="s">
        <v>859</v>
      </c>
      <c r="L188" s="720">
        <v>143</v>
      </c>
      <c r="M188" s="720">
        <v>38</v>
      </c>
      <c r="N188" s="721">
        <v>5434</v>
      </c>
    </row>
    <row r="189" spans="1:14" ht="14.45" customHeight="1" x14ac:dyDescent="0.2">
      <c r="A189" s="715" t="s">
        <v>518</v>
      </c>
      <c r="B189" s="716" t="s">
        <v>519</v>
      </c>
      <c r="C189" s="717" t="s">
        <v>531</v>
      </c>
      <c r="D189" s="718" t="s">
        <v>532</v>
      </c>
      <c r="E189" s="719">
        <v>50113001</v>
      </c>
      <c r="F189" s="718" t="s">
        <v>536</v>
      </c>
      <c r="G189" s="717" t="s">
        <v>537</v>
      </c>
      <c r="H189" s="717">
        <v>47249</v>
      </c>
      <c r="I189" s="717">
        <v>47249</v>
      </c>
      <c r="J189" s="717" t="s">
        <v>864</v>
      </c>
      <c r="K189" s="717" t="s">
        <v>866</v>
      </c>
      <c r="L189" s="720">
        <v>126.5</v>
      </c>
      <c r="M189" s="720">
        <v>83</v>
      </c>
      <c r="N189" s="721">
        <v>10499.5</v>
      </c>
    </row>
    <row r="190" spans="1:14" ht="14.45" customHeight="1" x14ac:dyDescent="0.2">
      <c r="A190" s="715" t="s">
        <v>518</v>
      </c>
      <c r="B190" s="716" t="s">
        <v>519</v>
      </c>
      <c r="C190" s="717" t="s">
        <v>531</v>
      </c>
      <c r="D190" s="718" t="s">
        <v>532</v>
      </c>
      <c r="E190" s="719">
        <v>50113001</v>
      </c>
      <c r="F190" s="718" t="s">
        <v>536</v>
      </c>
      <c r="G190" s="717" t="s">
        <v>537</v>
      </c>
      <c r="H190" s="717">
        <v>848930</v>
      </c>
      <c r="I190" s="717">
        <v>155781</v>
      </c>
      <c r="J190" s="717" t="s">
        <v>867</v>
      </c>
      <c r="K190" s="717" t="s">
        <v>868</v>
      </c>
      <c r="L190" s="720">
        <v>33.18</v>
      </c>
      <c r="M190" s="720">
        <v>1</v>
      </c>
      <c r="N190" s="721">
        <v>33.18</v>
      </c>
    </row>
    <row r="191" spans="1:14" ht="14.45" customHeight="1" x14ac:dyDescent="0.2">
      <c r="A191" s="715" t="s">
        <v>518</v>
      </c>
      <c r="B191" s="716" t="s">
        <v>519</v>
      </c>
      <c r="C191" s="717" t="s">
        <v>531</v>
      </c>
      <c r="D191" s="718" t="s">
        <v>532</v>
      </c>
      <c r="E191" s="719">
        <v>50113001</v>
      </c>
      <c r="F191" s="718" t="s">
        <v>536</v>
      </c>
      <c r="G191" s="717" t="s">
        <v>537</v>
      </c>
      <c r="H191" s="717">
        <v>848335</v>
      </c>
      <c r="I191" s="717">
        <v>155782</v>
      </c>
      <c r="J191" s="717" t="s">
        <v>867</v>
      </c>
      <c r="K191" s="717" t="s">
        <v>869</v>
      </c>
      <c r="L191" s="720">
        <v>53.459999999999994</v>
      </c>
      <c r="M191" s="720">
        <v>1</v>
      </c>
      <c r="N191" s="721">
        <v>53.459999999999994</v>
      </c>
    </row>
    <row r="192" spans="1:14" ht="14.45" customHeight="1" x14ac:dyDescent="0.2">
      <c r="A192" s="715" t="s">
        <v>518</v>
      </c>
      <c r="B192" s="716" t="s">
        <v>519</v>
      </c>
      <c r="C192" s="717" t="s">
        <v>531</v>
      </c>
      <c r="D192" s="718" t="s">
        <v>532</v>
      </c>
      <c r="E192" s="719">
        <v>50113001</v>
      </c>
      <c r="F192" s="718" t="s">
        <v>536</v>
      </c>
      <c r="G192" s="717" t="s">
        <v>537</v>
      </c>
      <c r="H192" s="717">
        <v>158249</v>
      </c>
      <c r="I192" s="717">
        <v>58249</v>
      </c>
      <c r="J192" s="717" t="s">
        <v>870</v>
      </c>
      <c r="K192" s="717" t="s">
        <v>520</v>
      </c>
      <c r="L192" s="720">
        <v>225.59500000000006</v>
      </c>
      <c r="M192" s="720">
        <v>2</v>
      </c>
      <c r="N192" s="721">
        <v>451.19000000000011</v>
      </c>
    </row>
    <row r="193" spans="1:14" ht="14.45" customHeight="1" x14ac:dyDescent="0.2">
      <c r="A193" s="715" t="s">
        <v>518</v>
      </c>
      <c r="B193" s="716" t="s">
        <v>519</v>
      </c>
      <c r="C193" s="717" t="s">
        <v>531</v>
      </c>
      <c r="D193" s="718" t="s">
        <v>532</v>
      </c>
      <c r="E193" s="719">
        <v>50113001</v>
      </c>
      <c r="F193" s="718" t="s">
        <v>536</v>
      </c>
      <c r="G193" s="717" t="s">
        <v>537</v>
      </c>
      <c r="H193" s="717">
        <v>106093</v>
      </c>
      <c r="I193" s="717">
        <v>6093</v>
      </c>
      <c r="J193" s="717" t="s">
        <v>871</v>
      </c>
      <c r="K193" s="717" t="s">
        <v>872</v>
      </c>
      <c r="L193" s="720">
        <v>172.57250000000008</v>
      </c>
      <c r="M193" s="720">
        <v>4</v>
      </c>
      <c r="N193" s="721">
        <v>690.2900000000003</v>
      </c>
    </row>
    <row r="194" spans="1:14" ht="14.45" customHeight="1" x14ac:dyDescent="0.2">
      <c r="A194" s="715" t="s">
        <v>518</v>
      </c>
      <c r="B194" s="716" t="s">
        <v>519</v>
      </c>
      <c r="C194" s="717" t="s">
        <v>531</v>
      </c>
      <c r="D194" s="718" t="s">
        <v>532</v>
      </c>
      <c r="E194" s="719">
        <v>50113001</v>
      </c>
      <c r="F194" s="718" t="s">
        <v>536</v>
      </c>
      <c r="G194" s="717" t="s">
        <v>537</v>
      </c>
      <c r="H194" s="717">
        <v>106091</v>
      </c>
      <c r="I194" s="717">
        <v>6091</v>
      </c>
      <c r="J194" s="717" t="s">
        <v>871</v>
      </c>
      <c r="K194" s="717" t="s">
        <v>873</v>
      </c>
      <c r="L194" s="720">
        <v>89.716666666666654</v>
      </c>
      <c r="M194" s="720">
        <v>3</v>
      </c>
      <c r="N194" s="721">
        <v>269.14999999999998</v>
      </c>
    </row>
    <row r="195" spans="1:14" ht="14.45" customHeight="1" x14ac:dyDescent="0.2">
      <c r="A195" s="715" t="s">
        <v>518</v>
      </c>
      <c r="B195" s="716" t="s">
        <v>519</v>
      </c>
      <c r="C195" s="717" t="s">
        <v>531</v>
      </c>
      <c r="D195" s="718" t="s">
        <v>532</v>
      </c>
      <c r="E195" s="719">
        <v>50113001</v>
      </c>
      <c r="F195" s="718" t="s">
        <v>536</v>
      </c>
      <c r="G195" s="717" t="s">
        <v>537</v>
      </c>
      <c r="H195" s="717">
        <v>106092</v>
      </c>
      <c r="I195" s="717">
        <v>6092</v>
      </c>
      <c r="J195" s="717" t="s">
        <v>874</v>
      </c>
      <c r="K195" s="717" t="s">
        <v>875</v>
      </c>
      <c r="L195" s="720">
        <v>282.28333333333336</v>
      </c>
      <c r="M195" s="720">
        <v>3</v>
      </c>
      <c r="N195" s="721">
        <v>846.85000000000014</v>
      </c>
    </row>
    <row r="196" spans="1:14" ht="14.45" customHeight="1" x14ac:dyDescent="0.2">
      <c r="A196" s="715" t="s">
        <v>518</v>
      </c>
      <c r="B196" s="716" t="s">
        <v>519</v>
      </c>
      <c r="C196" s="717" t="s">
        <v>531</v>
      </c>
      <c r="D196" s="718" t="s">
        <v>532</v>
      </c>
      <c r="E196" s="719">
        <v>50113001</v>
      </c>
      <c r="F196" s="718" t="s">
        <v>536</v>
      </c>
      <c r="G196" s="717" t="s">
        <v>537</v>
      </c>
      <c r="H196" s="717">
        <v>102538</v>
      </c>
      <c r="I196" s="717">
        <v>2538</v>
      </c>
      <c r="J196" s="717" t="s">
        <v>876</v>
      </c>
      <c r="K196" s="717" t="s">
        <v>877</v>
      </c>
      <c r="L196" s="720">
        <v>55.407123119145346</v>
      </c>
      <c r="M196" s="720">
        <v>73</v>
      </c>
      <c r="N196" s="721">
        <v>4044.7199876976101</v>
      </c>
    </row>
    <row r="197" spans="1:14" ht="14.45" customHeight="1" x14ac:dyDescent="0.2">
      <c r="A197" s="715" t="s">
        <v>518</v>
      </c>
      <c r="B197" s="716" t="s">
        <v>519</v>
      </c>
      <c r="C197" s="717" t="s">
        <v>531</v>
      </c>
      <c r="D197" s="718" t="s">
        <v>532</v>
      </c>
      <c r="E197" s="719">
        <v>50113001</v>
      </c>
      <c r="F197" s="718" t="s">
        <v>536</v>
      </c>
      <c r="G197" s="717" t="s">
        <v>537</v>
      </c>
      <c r="H197" s="717">
        <v>102539</v>
      </c>
      <c r="I197" s="717">
        <v>2539</v>
      </c>
      <c r="J197" s="717" t="s">
        <v>876</v>
      </c>
      <c r="K197" s="717" t="s">
        <v>878</v>
      </c>
      <c r="L197" s="720">
        <v>52.560000000000016</v>
      </c>
      <c r="M197" s="720">
        <v>1</v>
      </c>
      <c r="N197" s="721">
        <v>52.560000000000016</v>
      </c>
    </row>
    <row r="198" spans="1:14" ht="14.45" customHeight="1" x14ac:dyDescent="0.2">
      <c r="A198" s="715" t="s">
        <v>518</v>
      </c>
      <c r="B198" s="716" t="s">
        <v>519</v>
      </c>
      <c r="C198" s="717" t="s">
        <v>531</v>
      </c>
      <c r="D198" s="718" t="s">
        <v>532</v>
      </c>
      <c r="E198" s="719">
        <v>50113001</v>
      </c>
      <c r="F198" s="718" t="s">
        <v>536</v>
      </c>
      <c r="G198" s="717" t="s">
        <v>537</v>
      </c>
      <c r="H198" s="717">
        <v>112061</v>
      </c>
      <c r="I198" s="717">
        <v>12061</v>
      </c>
      <c r="J198" s="717" t="s">
        <v>879</v>
      </c>
      <c r="K198" s="717" t="s">
        <v>880</v>
      </c>
      <c r="L198" s="720">
        <v>0</v>
      </c>
      <c r="M198" s="720">
        <v>0</v>
      </c>
      <c r="N198" s="721">
        <v>5.6843418860808015E-14</v>
      </c>
    </row>
    <row r="199" spans="1:14" ht="14.45" customHeight="1" x14ac:dyDescent="0.2">
      <c r="A199" s="715" t="s">
        <v>518</v>
      </c>
      <c r="B199" s="716" t="s">
        <v>519</v>
      </c>
      <c r="C199" s="717" t="s">
        <v>531</v>
      </c>
      <c r="D199" s="718" t="s">
        <v>532</v>
      </c>
      <c r="E199" s="719">
        <v>50113001</v>
      </c>
      <c r="F199" s="718" t="s">
        <v>536</v>
      </c>
      <c r="G199" s="717" t="s">
        <v>537</v>
      </c>
      <c r="H199" s="717">
        <v>125366</v>
      </c>
      <c r="I199" s="717">
        <v>25366</v>
      </c>
      <c r="J199" s="717" t="s">
        <v>881</v>
      </c>
      <c r="K199" s="717" t="s">
        <v>882</v>
      </c>
      <c r="L199" s="720">
        <v>72.13333333333334</v>
      </c>
      <c r="M199" s="720">
        <v>6</v>
      </c>
      <c r="N199" s="721">
        <v>432.8</v>
      </c>
    </row>
    <row r="200" spans="1:14" ht="14.45" customHeight="1" x14ac:dyDescent="0.2">
      <c r="A200" s="715" t="s">
        <v>518</v>
      </c>
      <c r="B200" s="716" t="s">
        <v>519</v>
      </c>
      <c r="C200" s="717" t="s">
        <v>531</v>
      </c>
      <c r="D200" s="718" t="s">
        <v>532</v>
      </c>
      <c r="E200" s="719">
        <v>50113001</v>
      </c>
      <c r="F200" s="718" t="s">
        <v>536</v>
      </c>
      <c r="G200" s="717" t="s">
        <v>537</v>
      </c>
      <c r="H200" s="717">
        <v>215605</v>
      </c>
      <c r="I200" s="717">
        <v>215605</v>
      </c>
      <c r="J200" s="717" t="s">
        <v>881</v>
      </c>
      <c r="K200" s="717" t="s">
        <v>883</v>
      </c>
      <c r="L200" s="720">
        <v>28.260000000000009</v>
      </c>
      <c r="M200" s="720">
        <v>3</v>
      </c>
      <c r="N200" s="721">
        <v>84.78000000000003</v>
      </c>
    </row>
    <row r="201" spans="1:14" ht="14.45" customHeight="1" x14ac:dyDescent="0.2">
      <c r="A201" s="715" t="s">
        <v>518</v>
      </c>
      <c r="B201" s="716" t="s">
        <v>519</v>
      </c>
      <c r="C201" s="717" t="s">
        <v>531</v>
      </c>
      <c r="D201" s="718" t="s">
        <v>532</v>
      </c>
      <c r="E201" s="719">
        <v>50113001</v>
      </c>
      <c r="F201" s="718" t="s">
        <v>536</v>
      </c>
      <c r="G201" s="717" t="s">
        <v>537</v>
      </c>
      <c r="H201" s="717">
        <v>193746</v>
      </c>
      <c r="I201" s="717">
        <v>93746</v>
      </c>
      <c r="J201" s="717" t="s">
        <v>884</v>
      </c>
      <c r="K201" s="717" t="s">
        <v>885</v>
      </c>
      <c r="L201" s="720">
        <v>366.22</v>
      </c>
      <c r="M201" s="720">
        <v>39</v>
      </c>
      <c r="N201" s="721">
        <v>14282.580000000002</v>
      </c>
    </row>
    <row r="202" spans="1:14" ht="14.45" customHeight="1" x14ac:dyDescent="0.2">
      <c r="A202" s="715" t="s">
        <v>518</v>
      </c>
      <c r="B202" s="716" t="s">
        <v>519</v>
      </c>
      <c r="C202" s="717" t="s">
        <v>531</v>
      </c>
      <c r="D202" s="718" t="s">
        <v>532</v>
      </c>
      <c r="E202" s="719">
        <v>50113001</v>
      </c>
      <c r="F202" s="718" t="s">
        <v>536</v>
      </c>
      <c r="G202" s="717" t="s">
        <v>520</v>
      </c>
      <c r="H202" s="717">
        <v>103575</v>
      </c>
      <c r="I202" s="717">
        <v>3575</v>
      </c>
      <c r="J202" s="717" t="s">
        <v>886</v>
      </c>
      <c r="K202" s="717" t="s">
        <v>887</v>
      </c>
      <c r="L202" s="720">
        <v>74.224000000000018</v>
      </c>
      <c r="M202" s="720">
        <v>50</v>
      </c>
      <c r="N202" s="721">
        <v>3711.2000000000007</v>
      </c>
    </row>
    <row r="203" spans="1:14" ht="14.45" customHeight="1" x14ac:dyDescent="0.2">
      <c r="A203" s="715" t="s">
        <v>518</v>
      </c>
      <c r="B203" s="716" t="s">
        <v>519</v>
      </c>
      <c r="C203" s="717" t="s">
        <v>531</v>
      </c>
      <c r="D203" s="718" t="s">
        <v>532</v>
      </c>
      <c r="E203" s="719">
        <v>50113001</v>
      </c>
      <c r="F203" s="718" t="s">
        <v>536</v>
      </c>
      <c r="G203" s="717" t="s">
        <v>537</v>
      </c>
      <c r="H203" s="717">
        <v>155936</v>
      </c>
      <c r="I203" s="717">
        <v>155936</v>
      </c>
      <c r="J203" s="717" t="s">
        <v>888</v>
      </c>
      <c r="K203" s="717" t="s">
        <v>889</v>
      </c>
      <c r="L203" s="720">
        <v>245.77000000000015</v>
      </c>
      <c r="M203" s="720">
        <v>1</v>
      </c>
      <c r="N203" s="721">
        <v>245.77000000000015</v>
      </c>
    </row>
    <row r="204" spans="1:14" ht="14.45" customHeight="1" x14ac:dyDescent="0.2">
      <c r="A204" s="715" t="s">
        <v>518</v>
      </c>
      <c r="B204" s="716" t="s">
        <v>519</v>
      </c>
      <c r="C204" s="717" t="s">
        <v>531</v>
      </c>
      <c r="D204" s="718" t="s">
        <v>532</v>
      </c>
      <c r="E204" s="719">
        <v>50113001</v>
      </c>
      <c r="F204" s="718" t="s">
        <v>536</v>
      </c>
      <c r="G204" s="717" t="s">
        <v>537</v>
      </c>
      <c r="H204" s="717">
        <v>216670</v>
      </c>
      <c r="I204" s="717">
        <v>216670</v>
      </c>
      <c r="J204" s="717" t="s">
        <v>890</v>
      </c>
      <c r="K204" s="717" t="s">
        <v>891</v>
      </c>
      <c r="L204" s="720">
        <v>314.27</v>
      </c>
      <c r="M204" s="720">
        <v>10</v>
      </c>
      <c r="N204" s="721">
        <v>3142.7</v>
      </c>
    </row>
    <row r="205" spans="1:14" ht="14.45" customHeight="1" x14ac:dyDescent="0.2">
      <c r="A205" s="715" t="s">
        <v>518</v>
      </c>
      <c r="B205" s="716" t="s">
        <v>519</v>
      </c>
      <c r="C205" s="717" t="s">
        <v>531</v>
      </c>
      <c r="D205" s="718" t="s">
        <v>532</v>
      </c>
      <c r="E205" s="719">
        <v>50113001</v>
      </c>
      <c r="F205" s="718" t="s">
        <v>536</v>
      </c>
      <c r="G205" s="717" t="s">
        <v>537</v>
      </c>
      <c r="H205" s="717">
        <v>216572</v>
      </c>
      <c r="I205" s="717">
        <v>216572</v>
      </c>
      <c r="J205" s="717" t="s">
        <v>892</v>
      </c>
      <c r="K205" s="717" t="s">
        <v>893</v>
      </c>
      <c r="L205" s="720">
        <v>36.256162962962954</v>
      </c>
      <c r="M205" s="720">
        <v>675</v>
      </c>
      <c r="N205" s="721">
        <v>24472.909999999993</v>
      </c>
    </row>
    <row r="206" spans="1:14" ht="14.45" customHeight="1" x14ac:dyDescent="0.2">
      <c r="A206" s="715" t="s">
        <v>518</v>
      </c>
      <c r="B206" s="716" t="s">
        <v>519</v>
      </c>
      <c r="C206" s="717" t="s">
        <v>531</v>
      </c>
      <c r="D206" s="718" t="s">
        <v>532</v>
      </c>
      <c r="E206" s="719">
        <v>50113001</v>
      </c>
      <c r="F206" s="718" t="s">
        <v>536</v>
      </c>
      <c r="G206" s="717" t="s">
        <v>537</v>
      </c>
      <c r="H206" s="717">
        <v>223200</v>
      </c>
      <c r="I206" s="717">
        <v>223200</v>
      </c>
      <c r="J206" s="717" t="s">
        <v>894</v>
      </c>
      <c r="K206" s="717" t="s">
        <v>895</v>
      </c>
      <c r="L206" s="720">
        <v>148.87000000000003</v>
      </c>
      <c r="M206" s="720">
        <v>5</v>
      </c>
      <c r="N206" s="721">
        <v>744.35000000000014</v>
      </c>
    </row>
    <row r="207" spans="1:14" ht="14.45" customHeight="1" x14ac:dyDescent="0.2">
      <c r="A207" s="715" t="s">
        <v>518</v>
      </c>
      <c r="B207" s="716" t="s">
        <v>519</v>
      </c>
      <c r="C207" s="717" t="s">
        <v>531</v>
      </c>
      <c r="D207" s="718" t="s">
        <v>532</v>
      </c>
      <c r="E207" s="719">
        <v>50113001</v>
      </c>
      <c r="F207" s="718" t="s">
        <v>536</v>
      </c>
      <c r="G207" s="717" t="s">
        <v>537</v>
      </c>
      <c r="H207" s="717">
        <v>241678</v>
      </c>
      <c r="I207" s="717">
        <v>241678</v>
      </c>
      <c r="J207" s="717" t="s">
        <v>896</v>
      </c>
      <c r="K207" s="717" t="s">
        <v>897</v>
      </c>
      <c r="L207" s="720">
        <v>94.710000000000008</v>
      </c>
      <c r="M207" s="720">
        <v>2</v>
      </c>
      <c r="N207" s="721">
        <v>189.42000000000002</v>
      </c>
    </row>
    <row r="208" spans="1:14" ht="14.45" customHeight="1" x14ac:dyDescent="0.2">
      <c r="A208" s="715" t="s">
        <v>518</v>
      </c>
      <c r="B208" s="716" t="s">
        <v>519</v>
      </c>
      <c r="C208" s="717" t="s">
        <v>531</v>
      </c>
      <c r="D208" s="718" t="s">
        <v>532</v>
      </c>
      <c r="E208" s="719">
        <v>50113001</v>
      </c>
      <c r="F208" s="718" t="s">
        <v>536</v>
      </c>
      <c r="G208" s="717" t="s">
        <v>537</v>
      </c>
      <c r="H208" s="717">
        <v>842703</v>
      </c>
      <c r="I208" s="717">
        <v>0</v>
      </c>
      <c r="J208" s="717" t="s">
        <v>898</v>
      </c>
      <c r="K208" s="717" t="s">
        <v>520</v>
      </c>
      <c r="L208" s="720">
        <v>54.191037037037042</v>
      </c>
      <c r="M208" s="720">
        <v>270</v>
      </c>
      <c r="N208" s="721">
        <v>14631.580000000002</v>
      </c>
    </row>
    <row r="209" spans="1:14" ht="14.45" customHeight="1" x14ac:dyDescent="0.2">
      <c r="A209" s="715" t="s">
        <v>518</v>
      </c>
      <c r="B209" s="716" t="s">
        <v>519</v>
      </c>
      <c r="C209" s="717" t="s">
        <v>531</v>
      </c>
      <c r="D209" s="718" t="s">
        <v>532</v>
      </c>
      <c r="E209" s="719">
        <v>50113001</v>
      </c>
      <c r="F209" s="718" t="s">
        <v>536</v>
      </c>
      <c r="G209" s="717" t="s">
        <v>537</v>
      </c>
      <c r="H209" s="717">
        <v>51367</v>
      </c>
      <c r="I209" s="717">
        <v>51367</v>
      </c>
      <c r="J209" s="717" t="s">
        <v>899</v>
      </c>
      <c r="K209" s="717" t="s">
        <v>900</v>
      </c>
      <c r="L209" s="720">
        <v>92.949999999999989</v>
      </c>
      <c r="M209" s="720">
        <v>288</v>
      </c>
      <c r="N209" s="721">
        <v>26769.599999999999</v>
      </c>
    </row>
    <row r="210" spans="1:14" ht="14.45" customHeight="1" x14ac:dyDescent="0.2">
      <c r="A210" s="715" t="s">
        <v>518</v>
      </c>
      <c r="B210" s="716" t="s">
        <v>519</v>
      </c>
      <c r="C210" s="717" t="s">
        <v>531</v>
      </c>
      <c r="D210" s="718" t="s">
        <v>532</v>
      </c>
      <c r="E210" s="719">
        <v>50113001</v>
      </c>
      <c r="F210" s="718" t="s">
        <v>536</v>
      </c>
      <c r="G210" s="717" t="s">
        <v>537</v>
      </c>
      <c r="H210" s="717">
        <v>51366</v>
      </c>
      <c r="I210" s="717">
        <v>51366</v>
      </c>
      <c r="J210" s="717" t="s">
        <v>899</v>
      </c>
      <c r="K210" s="717" t="s">
        <v>901</v>
      </c>
      <c r="L210" s="720">
        <v>171.6</v>
      </c>
      <c r="M210" s="720">
        <v>126</v>
      </c>
      <c r="N210" s="721">
        <v>21621.599999999999</v>
      </c>
    </row>
    <row r="211" spans="1:14" ht="14.45" customHeight="1" x14ac:dyDescent="0.2">
      <c r="A211" s="715" t="s">
        <v>518</v>
      </c>
      <c r="B211" s="716" t="s">
        <v>519</v>
      </c>
      <c r="C211" s="717" t="s">
        <v>531</v>
      </c>
      <c r="D211" s="718" t="s">
        <v>532</v>
      </c>
      <c r="E211" s="719">
        <v>50113001</v>
      </c>
      <c r="F211" s="718" t="s">
        <v>536</v>
      </c>
      <c r="G211" s="717" t="s">
        <v>537</v>
      </c>
      <c r="H211" s="717">
        <v>51384</v>
      </c>
      <c r="I211" s="717">
        <v>51384</v>
      </c>
      <c r="J211" s="717" t="s">
        <v>899</v>
      </c>
      <c r="K211" s="717" t="s">
        <v>902</v>
      </c>
      <c r="L211" s="720">
        <v>192.5</v>
      </c>
      <c r="M211" s="720">
        <v>34</v>
      </c>
      <c r="N211" s="721">
        <v>6545</v>
      </c>
    </row>
    <row r="212" spans="1:14" ht="14.45" customHeight="1" x14ac:dyDescent="0.2">
      <c r="A212" s="715" t="s">
        <v>518</v>
      </c>
      <c r="B212" s="716" t="s">
        <v>519</v>
      </c>
      <c r="C212" s="717" t="s">
        <v>531</v>
      </c>
      <c r="D212" s="718" t="s">
        <v>532</v>
      </c>
      <c r="E212" s="719">
        <v>50113001</v>
      </c>
      <c r="F212" s="718" t="s">
        <v>536</v>
      </c>
      <c r="G212" s="717" t="s">
        <v>537</v>
      </c>
      <c r="H212" s="717">
        <v>51383</v>
      </c>
      <c r="I212" s="717">
        <v>51383</v>
      </c>
      <c r="J212" s="717" t="s">
        <v>899</v>
      </c>
      <c r="K212" s="717" t="s">
        <v>903</v>
      </c>
      <c r="L212" s="720">
        <v>93.500001125008765</v>
      </c>
      <c r="M212" s="720">
        <v>233</v>
      </c>
      <c r="N212" s="721">
        <v>21785.500262127043</v>
      </c>
    </row>
    <row r="213" spans="1:14" ht="14.45" customHeight="1" x14ac:dyDescent="0.2">
      <c r="A213" s="715" t="s">
        <v>518</v>
      </c>
      <c r="B213" s="716" t="s">
        <v>519</v>
      </c>
      <c r="C213" s="717" t="s">
        <v>531</v>
      </c>
      <c r="D213" s="718" t="s">
        <v>532</v>
      </c>
      <c r="E213" s="719">
        <v>50113001</v>
      </c>
      <c r="F213" s="718" t="s">
        <v>536</v>
      </c>
      <c r="G213" s="717" t="s">
        <v>537</v>
      </c>
      <c r="H213" s="717">
        <v>157608</v>
      </c>
      <c r="I213" s="717">
        <v>57608</v>
      </c>
      <c r="J213" s="717" t="s">
        <v>904</v>
      </c>
      <c r="K213" s="717" t="s">
        <v>905</v>
      </c>
      <c r="L213" s="720">
        <v>69.339999999999989</v>
      </c>
      <c r="M213" s="720">
        <v>2</v>
      </c>
      <c r="N213" s="721">
        <v>138.67999999999998</v>
      </c>
    </row>
    <row r="214" spans="1:14" ht="14.45" customHeight="1" x14ac:dyDescent="0.2">
      <c r="A214" s="715" t="s">
        <v>518</v>
      </c>
      <c r="B214" s="716" t="s">
        <v>519</v>
      </c>
      <c r="C214" s="717" t="s">
        <v>531</v>
      </c>
      <c r="D214" s="718" t="s">
        <v>532</v>
      </c>
      <c r="E214" s="719">
        <v>50113001</v>
      </c>
      <c r="F214" s="718" t="s">
        <v>536</v>
      </c>
      <c r="G214" s="717" t="s">
        <v>537</v>
      </c>
      <c r="H214" s="717">
        <v>132018</v>
      </c>
      <c r="I214" s="717">
        <v>32018</v>
      </c>
      <c r="J214" s="717" t="s">
        <v>906</v>
      </c>
      <c r="K214" s="717" t="s">
        <v>907</v>
      </c>
      <c r="L214" s="720">
        <v>39.141999999999996</v>
      </c>
      <c r="M214" s="720">
        <v>5</v>
      </c>
      <c r="N214" s="721">
        <v>195.70999999999998</v>
      </c>
    </row>
    <row r="215" spans="1:14" ht="14.45" customHeight="1" x14ac:dyDescent="0.2">
      <c r="A215" s="715" t="s">
        <v>518</v>
      </c>
      <c r="B215" s="716" t="s">
        <v>519</v>
      </c>
      <c r="C215" s="717" t="s">
        <v>531</v>
      </c>
      <c r="D215" s="718" t="s">
        <v>532</v>
      </c>
      <c r="E215" s="719">
        <v>50113001</v>
      </c>
      <c r="F215" s="718" t="s">
        <v>536</v>
      </c>
      <c r="G215" s="717" t="s">
        <v>537</v>
      </c>
      <c r="H215" s="717">
        <v>208988</v>
      </c>
      <c r="I215" s="717">
        <v>208988</v>
      </c>
      <c r="J215" s="717" t="s">
        <v>908</v>
      </c>
      <c r="K215" s="717" t="s">
        <v>909</v>
      </c>
      <c r="L215" s="720">
        <v>555.16998026485157</v>
      </c>
      <c r="M215" s="720">
        <v>50</v>
      </c>
      <c r="N215" s="721">
        <v>27758.499013242577</v>
      </c>
    </row>
    <row r="216" spans="1:14" ht="14.45" customHeight="1" x14ac:dyDescent="0.2">
      <c r="A216" s="715" t="s">
        <v>518</v>
      </c>
      <c r="B216" s="716" t="s">
        <v>519</v>
      </c>
      <c r="C216" s="717" t="s">
        <v>531</v>
      </c>
      <c r="D216" s="718" t="s">
        <v>532</v>
      </c>
      <c r="E216" s="719">
        <v>50113001</v>
      </c>
      <c r="F216" s="718" t="s">
        <v>536</v>
      </c>
      <c r="G216" s="717" t="s">
        <v>537</v>
      </c>
      <c r="H216" s="717">
        <v>208990</v>
      </c>
      <c r="I216" s="717">
        <v>208990</v>
      </c>
      <c r="J216" s="717" t="s">
        <v>910</v>
      </c>
      <c r="K216" s="717" t="s">
        <v>909</v>
      </c>
      <c r="L216" s="720">
        <v>668.47</v>
      </c>
      <c r="M216" s="720">
        <v>39</v>
      </c>
      <c r="N216" s="721">
        <v>26070.33</v>
      </c>
    </row>
    <row r="217" spans="1:14" ht="14.45" customHeight="1" x14ac:dyDescent="0.2">
      <c r="A217" s="715" t="s">
        <v>518</v>
      </c>
      <c r="B217" s="716" t="s">
        <v>519</v>
      </c>
      <c r="C217" s="717" t="s">
        <v>531</v>
      </c>
      <c r="D217" s="718" t="s">
        <v>532</v>
      </c>
      <c r="E217" s="719">
        <v>50113001</v>
      </c>
      <c r="F217" s="718" t="s">
        <v>536</v>
      </c>
      <c r="G217" s="717" t="s">
        <v>537</v>
      </c>
      <c r="H217" s="717">
        <v>224964</v>
      </c>
      <c r="I217" s="717">
        <v>224964</v>
      </c>
      <c r="J217" s="717" t="s">
        <v>911</v>
      </c>
      <c r="K217" s="717" t="s">
        <v>912</v>
      </c>
      <c r="L217" s="720">
        <v>107.83000000000003</v>
      </c>
      <c r="M217" s="720">
        <v>54</v>
      </c>
      <c r="N217" s="721">
        <v>5822.8200000000015</v>
      </c>
    </row>
    <row r="218" spans="1:14" ht="14.45" customHeight="1" x14ac:dyDescent="0.2">
      <c r="A218" s="715" t="s">
        <v>518</v>
      </c>
      <c r="B218" s="716" t="s">
        <v>519</v>
      </c>
      <c r="C218" s="717" t="s">
        <v>531</v>
      </c>
      <c r="D218" s="718" t="s">
        <v>532</v>
      </c>
      <c r="E218" s="719">
        <v>50113001</v>
      </c>
      <c r="F218" s="718" t="s">
        <v>536</v>
      </c>
      <c r="G218" s="717" t="s">
        <v>537</v>
      </c>
      <c r="H218" s="717">
        <v>224965</v>
      </c>
      <c r="I218" s="717">
        <v>224965</v>
      </c>
      <c r="J218" s="717" t="s">
        <v>913</v>
      </c>
      <c r="K218" s="717" t="s">
        <v>914</v>
      </c>
      <c r="L218" s="720">
        <v>107.75000000000003</v>
      </c>
      <c r="M218" s="720">
        <v>5</v>
      </c>
      <c r="N218" s="721">
        <v>538.75000000000011</v>
      </c>
    </row>
    <row r="219" spans="1:14" ht="14.45" customHeight="1" x14ac:dyDescent="0.2">
      <c r="A219" s="715" t="s">
        <v>518</v>
      </c>
      <c r="B219" s="716" t="s">
        <v>519</v>
      </c>
      <c r="C219" s="717" t="s">
        <v>531</v>
      </c>
      <c r="D219" s="718" t="s">
        <v>532</v>
      </c>
      <c r="E219" s="719">
        <v>50113001</v>
      </c>
      <c r="F219" s="718" t="s">
        <v>536</v>
      </c>
      <c r="G219" s="717" t="s">
        <v>537</v>
      </c>
      <c r="H219" s="717">
        <v>187299</v>
      </c>
      <c r="I219" s="717">
        <v>87299</v>
      </c>
      <c r="J219" s="717" t="s">
        <v>915</v>
      </c>
      <c r="K219" s="717" t="s">
        <v>916</v>
      </c>
      <c r="L219" s="720">
        <v>1013.0750000000002</v>
      </c>
      <c r="M219" s="720">
        <v>6</v>
      </c>
      <c r="N219" s="721">
        <v>6078.4500000000007</v>
      </c>
    </row>
    <row r="220" spans="1:14" ht="14.45" customHeight="1" x14ac:dyDescent="0.2">
      <c r="A220" s="715" t="s">
        <v>518</v>
      </c>
      <c r="B220" s="716" t="s">
        <v>519</v>
      </c>
      <c r="C220" s="717" t="s">
        <v>531</v>
      </c>
      <c r="D220" s="718" t="s">
        <v>532</v>
      </c>
      <c r="E220" s="719">
        <v>50113001</v>
      </c>
      <c r="F220" s="718" t="s">
        <v>536</v>
      </c>
      <c r="G220" s="717" t="s">
        <v>552</v>
      </c>
      <c r="H220" s="717">
        <v>199645</v>
      </c>
      <c r="I220" s="717">
        <v>199645</v>
      </c>
      <c r="J220" s="717" t="s">
        <v>917</v>
      </c>
      <c r="K220" s="717" t="s">
        <v>918</v>
      </c>
      <c r="L220" s="720">
        <v>292.77999999999997</v>
      </c>
      <c r="M220" s="720">
        <v>1</v>
      </c>
      <c r="N220" s="721">
        <v>292.77999999999997</v>
      </c>
    </row>
    <row r="221" spans="1:14" ht="14.45" customHeight="1" x14ac:dyDescent="0.2">
      <c r="A221" s="715" t="s">
        <v>518</v>
      </c>
      <c r="B221" s="716" t="s">
        <v>519</v>
      </c>
      <c r="C221" s="717" t="s">
        <v>531</v>
      </c>
      <c r="D221" s="718" t="s">
        <v>532</v>
      </c>
      <c r="E221" s="719">
        <v>50113001</v>
      </c>
      <c r="F221" s="718" t="s">
        <v>536</v>
      </c>
      <c r="G221" s="717" t="s">
        <v>537</v>
      </c>
      <c r="H221" s="717">
        <v>196696</v>
      </c>
      <c r="I221" s="717">
        <v>96696</v>
      </c>
      <c r="J221" s="717" t="s">
        <v>919</v>
      </c>
      <c r="K221" s="717" t="s">
        <v>920</v>
      </c>
      <c r="L221" s="720">
        <v>46.620000000000005</v>
      </c>
      <c r="M221" s="720">
        <v>1</v>
      </c>
      <c r="N221" s="721">
        <v>46.620000000000005</v>
      </c>
    </row>
    <row r="222" spans="1:14" ht="14.45" customHeight="1" x14ac:dyDescent="0.2">
      <c r="A222" s="715" t="s">
        <v>518</v>
      </c>
      <c r="B222" s="716" t="s">
        <v>519</v>
      </c>
      <c r="C222" s="717" t="s">
        <v>531</v>
      </c>
      <c r="D222" s="718" t="s">
        <v>532</v>
      </c>
      <c r="E222" s="719">
        <v>50113001</v>
      </c>
      <c r="F222" s="718" t="s">
        <v>536</v>
      </c>
      <c r="G222" s="717" t="s">
        <v>537</v>
      </c>
      <c r="H222" s="717">
        <v>193724</v>
      </c>
      <c r="I222" s="717">
        <v>93724</v>
      </c>
      <c r="J222" s="717" t="s">
        <v>921</v>
      </c>
      <c r="K222" s="717" t="s">
        <v>922</v>
      </c>
      <c r="L222" s="720">
        <v>68.303333333333342</v>
      </c>
      <c r="M222" s="720">
        <v>6</v>
      </c>
      <c r="N222" s="721">
        <v>409.82000000000005</v>
      </c>
    </row>
    <row r="223" spans="1:14" ht="14.45" customHeight="1" x14ac:dyDescent="0.2">
      <c r="A223" s="715" t="s">
        <v>518</v>
      </c>
      <c r="B223" s="716" t="s">
        <v>519</v>
      </c>
      <c r="C223" s="717" t="s">
        <v>531</v>
      </c>
      <c r="D223" s="718" t="s">
        <v>532</v>
      </c>
      <c r="E223" s="719">
        <v>50113001</v>
      </c>
      <c r="F223" s="718" t="s">
        <v>536</v>
      </c>
      <c r="G223" s="717" t="s">
        <v>537</v>
      </c>
      <c r="H223" s="717">
        <v>193723</v>
      </c>
      <c r="I223" s="717">
        <v>93723</v>
      </c>
      <c r="J223" s="717" t="s">
        <v>923</v>
      </c>
      <c r="K223" s="717" t="s">
        <v>924</v>
      </c>
      <c r="L223" s="720">
        <v>40.229999999999997</v>
      </c>
      <c r="M223" s="720">
        <v>2</v>
      </c>
      <c r="N223" s="721">
        <v>80.459999999999994</v>
      </c>
    </row>
    <row r="224" spans="1:14" ht="14.45" customHeight="1" x14ac:dyDescent="0.2">
      <c r="A224" s="715" t="s">
        <v>518</v>
      </c>
      <c r="B224" s="716" t="s">
        <v>519</v>
      </c>
      <c r="C224" s="717" t="s">
        <v>531</v>
      </c>
      <c r="D224" s="718" t="s">
        <v>532</v>
      </c>
      <c r="E224" s="719">
        <v>50113001</v>
      </c>
      <c r="F224" s="718" t="s">
        <v>536</v>
      </c>
      <c r="G224" s="717" t="s">
        <v>537</v>
      </c>
      <c r="H224" s="717">
        <v>844864</v>
      </c>
      <c r="I224" s="717">
        <v>85346</v>
      </c>
      <c r="J224" s="717" t="s">
        <v>925</v>
      </c>
      <c r="K224" s="717" t="s">
        <v>926</v>
      </c>
      <c r="L224" s="720">
        <v>304.64999999999998</v>
      </c>
      <c r="M224" s="720">
        <v>5</v>
      </c>
      <c r="N224" s="721">
        <v>1523.25</v>
      </c>
    </row>
    <row r="225" spans="1:14" ht="14.45" customHeight="1" x14ac:dyDescent="0.2">
      <c r="A225" s="715" t="s">
        <v>518</v>
      </c>
      <c r="B225" s="716" t="s">
        <v>519</v>
      </c>
      <c r="C225" s="717" t="s">
        <v>531</v>
      </c>
      <c r="D225" s="718" t="s">
        <v>532</v>
      </c>
      <c r="E225" s="719">
        <v>50113001</v>
      </c>
      <c r="F225" s="718" t="s">
        <v>536</v>
      </c>
      <c r="G225" s="717" t="s">
        <v>537</v>
      </c>
      <c r="H225" s="717">
        <v>208466</v>
      </c>
      <c r="I225" s="717">
        <v>208466</v>
      </c>
      <c r="J225" s="717" t="s">
        <v>927</v>
      </c>
      <c r="K225" s="717" t="s">
        <v>928</v>
      </c>
      <c r="L225" s="720">
        <v>792.76940868490772</v>
      </c>
      <c r="M225" s="720">
        <v>3</v>
      </c>
      <c r="N225" s="721">
        <v>2378.308226054723</v>
      </c>
    </row>
    <row r="226" spans="1:14" ht="14.45" customHeight="1" x14ac:dyDescent="0.2">
      <c r="A226" s="715" t="s">
        <v>518</v>
      </c>
      <c r="B226" s="716" t="s">
        <v>519</v>
      </c>
      <c r="C226" s="717" t="s">
        <v>531</v>
      </c>
      <c r="D226" s="718" t="s">
        <v>532</v>
      </c>
      <c r="E226" s="719">
        <v>50113001</v>
      </c>
      <c r="F226" s="718" t="s">
        <v>536</v>
      </c>
      <c r="G226" s="717" t="s">
        <v>537</v>
      </c>
      <c r="H226" s="717">
        <v>501075</v>
      </c>
      <c r="I226" s="717">
        <v>0</v>
      </c>
      <c r="J226" s="717" t="s">
        <v>929</v>
      </c>
      <c r="K226" s="717" t="s">
        <v>930</v>
      </c>
      <c r="L226" s="720">
        <v>95.524705882352933</v>
      </c>
      <c r="M226" s="720">
        <v>68</v>
      </c>
      <c r="N226" s="721">
        <v>6495.6799999999994</v>
      </c>
    </row>
    <row r="227" spans="1:14" ht="14.45" customHeight="1" x14ac:dyDescent="0.2">
      <c r="A227" s="715" t="s">
        <v>518</v>
      </c>
      <c r="B227" s="716" t="s">
        <v>519</v>
      </c>
      <c r="C227" s="717" t="s">
        <v>531</v>
      </c>
      <c r="D227" s="718" t="s">
        <v>532</v>
      </c>
      <c r="E227" s="719">
        <v>50113001</v>
      </c>
      <c r="F227" s="718" t="s">
        <v>536</v>
      </c>
      <c r="G227" s="717" t="s">
        <v>537</v>
      </c>
      <c r="H227" s="717">
        <v>4269</v>
      </c>
      <c r="I227" s="717">
        <v>4269</v>
      </c>
      <c r="J227" s="717" t="s">
        <v>931</v>
      </c>
      <c r="K227" s="717" t="s">
        <v>932</v>
      </c>
      <c r="L227" s="720">
        <v>118.64</v>
      </c>
      <c r="M227" s="720">
        <v>1</v>
      </c>
      <c r="N227" s="721">
        <v>118.64</v>
      </c>
    </row>
    <row r="228" spans="1:14" ht="14.45" customHeight="1" x14ac:dyDescent="0.2">
      <c r="A228" s="715" t="s">
        <v>518</v>
      </c>
      <c r="B228" s="716" t="s">
        <v>519</v>
      </c>
      <c r="C228" s="717" t="s">
        <v>531</v>
      </c>
      <c r="D228" s="718" t="s">
        <v>532</v>
      </c>
      <c r="E228" s="719">
        <v>50113001</v>
      </c>
      <c r="F228" s="718" t="s">
        <v>536</v>
      </c>
      <c r="G228" s="717" t="s">
        <v>537</v>
      </c>
      <c r="H228" s="717">
        <v>218183</v>
      </c>
      <c r="I228" s="717">
        <v>218183</v>
      </c>
      <c r="J228" s="717" t="s">
        <v>933</v>
      </c>
      <c r="K228" s="717" t="s">
        <v>934</v>
      </c>
      <c r="L228" s="720">
        <v>566.27428571428584</v>
      </c>
      <c r="M228" s="720">
        <v>7</v>
      </c>
      <c r="N228" s="721">
        <v>3963.9200000000005</v>
      </c>
    </row>
    <row r="229" spans="1:14" ht="14.45" customHeight="1" x14ac:dyDescent="0.2">
      <c r="A229" s="715" t="s">
        <v>518</v>
      </c>
      <c r="B229" s="716" t="s">
        <v>519</v>
      </c>
      <c r="C229" s="717" t="s">
        <v>531</v>
      </c>
      <c r="D229" s="718" t="s">
        <v>532</v>
      </c>
      <c r="E229" s="719">
        <v>50113001</v>
      </c>
      <c r="F229" s="718" t="s">
        <v>536</v>
      </c>
      <c r="G229" s="717" t="s">
        <v>537</v>
      </c>
      <c r="H229" s="717">
        <v>134824</v>
      </c>
      <c r="I229" s="717">
        <v>134824</v>
      </c>
      <c r="J229" s="717" t="s">
        <v>935</v>
      </c>
      <c r="K229" s="717" t="s">
        <v>936</v>
      </c>
      <c r="L229" s="720">
        <v>199.9800015172151</v>
      </c>
      <c r="M229" s="720">
        <v>80</v>
      </c>
      <c r="N229" s="721">
        <v>15998.400121377208</v>
      </c>
    </row>
    <row r="230" spans="1:14" ht="14.45" customHeight="1" x14ac:dyDescent="0.2">
      <c r="A230" s="715" t="s">
        <v>518</v>
      </c>
      <c r="B230" s="716" t="s">
        <v>519</v>
      </c>
      <c r="C230" s="717" t="s">
        <v>531</v>
      </c>
      <c r="D230" s="718" t="s">
        <v>532</v>
      </c>
      <c r="E230" s="719">
        <v>50113001</v>
      </c>
      <c r="F230" s="718" t="s">
        <v>536</v>
      </c>
      <c r="G230" s="717" t="s">
        <v>537</v>
      </c>
      <c r="H230" s="717">
        <v>501705</v>
      </c>
      <c r="I230" s="717">
        <v>9999999</v>
      </c>
      <c r="J230" s="717" t="s">
        <v>937</v>
      </c>
      <c r="K230" s="717" t="s">
        <v>938</v>
      </c>
      <c r="L230" s="720">
        <v>289.15999999999997</v>
      </c>
      <c r="M230" s="720">
        <v>5</v>
      </c>
      <c r="N230" s="721">
        <v>1445.7999999999997</v>
      </c>
    </row>
    <row r="231" spans="1:14" ht="14.45" customHeight="1" x14ac:dyDescent="0.2">
      <c r="A231" s="715" t="s">
        <v>518</v>
      </c>
      <c r="B231" s="716" t="s">
        <v>519</v>
      </c>
      <c r="C231" s="717" t="s">
        <v>531</v>
      </c>
      <c r="D231" s="718" t="s">
        <v>532</v>
      </c>
      <c r="E231" s="719">
        <v>50113001</v>
      </c>
      <c r="F231" s="718" t="s">
        <v>536</v>
      </c>
      <c r="G231" s="717" t="s">
        <v>552</v>
      </c>
      <c r="H231" s="717">
        <v>844716</v>
      </c>
      <c r="I231" s="717">
        <v>107676</v>
      </c>
      <c r="J231" s="717" t="s">
        <v>939</v>
      </c>
      <c r="K231" s="717" t="s">
        <v>940</v>
      </c>
      <c r="L231" s="720">
        <v>359.85</v>
      </c>
      <c r="M231" s="720">
        <v>1</v>
      </c>
      <c r="N231" s="721">
        <v>359.85</v>
      </c>
    </row>
    <row r="232" spans="1:14" ht="14.45" customHeight="1" x14ac:dyDescent="0.2">
      <c r="A232" s="715" t="s">
        <v>518</v>
      </c>
      <c r="B232" s="716" t="s">
        <v>519</v>
      </c>
      <c r="C232" s="717" t="s">
        <v>531</v>
      </c>
      <c r="D232" s="718" t="s">
        <v>532</v>
      </c>
      <c r="E232" s="719">
        <v>50113001</v>
      </c>
      <c r="F232" s="718" t="s">
        <v>536</v>
      </c>
      <c r="G232" s="717" t="s">
        <v>537</v>
      </c>
      <c r="H232" s="717">
        <v>848725</v>
      </c>
      <c r="I232" s="717">
        <v>107677</v>
      </c>
      <c r="J232" s="717" t="s">
        <v>941</v>
      </c>
      <c r="K232" s="717" t="s">
        <v>942</v>
      </c>
      <c r="L232" s="720">
        <v>382.1100000000003</v>
      </c>
      <c r="M232" s="720">
        <v>162</v>
      </c>
      <c r="N232" s="721">
        <v>61901.820000000051</v>
      </c>
    </row>
    <row r="233" spans="1:14" ht="14.45" customHeight="1" x14ac:dyDescent="0.2">
      <c r="A233" s="715" t="s">
        <v>518</v>
      </c>
      <c r="B233" s="716" t="s">
        <v>519</v>
      </c>
      <c r="C233" s="717" t="s">
        <v>531</v>
      </c>
      <c r="D233" s="718" t="s">
        <v>532</v>
      </c>
      <c r="E233" s="719">
        <v>50113001</v>
      </c>
      <c r="F233" s="718" t="s">
        <v>536</v>
      </c>
      <c r="G233" s="717" t="s">
        <v>537</v>
      </c>
      <c r="H233" s="717">
        <v>100489</v>
      </c>
      <c r="I233" s="717">
        <v>489</v>
      </c>
      <c r="J233" s="717" t="s">
        <v>943</v>
      </c>
      <c r="K233" s="717" t="s">
        <v>944</v>
      </c>
      <c r="L233" s="720">
        <v>47.31704545454545</v>
      </c>
      <c r="M233" s="720">
        <v>88</v>
      </c>
      <c r="N233" s="721">
        <v>4163.8999999999996</v>
      </c>
    </row>
    <row r="234" spans="1:14" ht="14.45" customHeight="1" x14ac:dyDescent="0.2">
      <c r="A234" s="715" t="s">
        <v>518</v>
      </c>
      <c r="B234" s="716" t="s">
        <v>519</v>
      </c>
      <c r="C234" s="717" t="s">
        <v>531</v>
      </c>
      <c r="D234" s="718" t="s">
        <v>532</v>
      </c>
      <c r="E234" s="719">
        <v>50113001</v>
      </c>
      <c r="F234" s="718" t="s">
        <v>536</v>
      </c>
      <c r="G234" s="717" t="s">
        <v>552</v>
      </c>
      <c r="H234" s="717">
        <v>169623</v>
      </c>
      <c r="I234" s="717">
        <v>169623</v>
      </c>
      <c r="J234" s="717" t="s">
        <v>945</v>
      </c>
      <c r="K234" s="717" t="s">
        <v>946</v>
      </c>
      <c r="L234" s="720">
        <v>32.97</v>
      </c>
      <c r="M234" s="720">
        <v>1</v>
      </c>
      <c r="N234" s="721">
        <v>32.97</v>
      </c>
    </row>
    <row r="235" spans="1:14" ht="14.45" customHeight="1" x14ac:dyDescent="0.2">
      <c r="A235" s="715" t="s">
        <v>518</v>
      </c>
      <c r="B235" s="716" t="s">
        <v>519</v>
      </c>
      <c r="C235" s="717" t="s">
        <v>531</v>
      </c>
      <c r="D235" s="718" t="s">
        <v>532</v>
      </c>
      <c r="E235" s="719">
        <v>50113001</v>
      </c>
      <c r="F235" s="718" t="s">
        <v>536</v>
      </c>
      <c r="G235" s="717" t="s">
        <v>537</v>
      </c>
      <c r="H235" s="717">
        <v>158746</v>
      </c>
      <c r="I235" s="717">
        <v>58746</v>
      </c>
      <c r="J235" s="717" t="s">
        <v>947</v>
      </c>
      <c r="K235" s="717" t="s">
        <v>948</v>
      </c>
      <c r="L235" s="720">
        <v>565.73</v>
      </c>
      <c r="M235" s="720">
        <v>1</v>
      </c>
      <c r="N235" s="721">
        <v>565.73</v>
      </c>
    </row>
    <row r="236" spans="1:14" ht="14.45" customHeight="1" x14ac:dyDescent="0.2">
      <c r="A236" s="715" t="s">
        <v>518</v>
      </c>
      <c r="B236" s="716" t="s">
        <v>519</v>
      </c>
      <c r="C236" s="717" t="s">
        <v>531</v>
      </c>
      <c r="D236" s="718" t="s">
        <v>532</v>
      </c>
      <c r="E236" s="719">
        <v>50113001</v>
      </c>
      <c r="F236" s="718" t="s">
        <v>536</v>
      </c>
      <c r="G236" s="717" t="s">
        <v>520</v>
      </c>
      <c r="H236" s="717">
        <v>125829</v>
      </c>
      <c r="I236" s="717">
        <v>25829</v>
      </c>
      <c r="J236" s="717" t="s">
        <v>949</v>
      </c>
      <c r="K236" s="717" t="s">
        <v>950</v>
      </c>
      <c r="L236" s="720">
        <v>169.44</v>
      </c>
      <c r="M236" s="720">
        <v>1</v>
      </c>
      <c r="N236" s="721">
        <v>169.44</v>
      </c>
    </row>
    <row r="237" spans="1:14" ht="14.45" customHeight="1" x14ac:dyDescent="0.2">
      <c r="A237" s="715" t="s">
        <v>518</v>
      </c>
      <c r="B237" s="716" t="s">
        <v>519</v>
      </c>
      <c r="C237" s="717" t="s">
        <v>531</v>
      </c>
      <c r="D237" s="718" t="s">
        <v>532</v>
      </c>
      <c r="E237" s="719">
        <v>50113001</v>
      </c>
      <c r="F237" s="718" t="s">
        <v>536</v>
      </c>
      <c r="G237" s="717" t="s">
        <v>537</v>
      </c>
      <c r="H237" s="717">
        <v>224862</v>
      </c>
      <c r="I237" s="717">
        <v>224862</v>
      </c>
      <c r="J237" s="717" t="s">
        <v>951</v>
      </c>
      <c r="K237" s="717" t="s">
        <v>952</v>
      </c>
      <c r="L237" s="720">
        <v>1547.2700000000004</v>
      </c>
      <c r="M237" s="720">
        <v>1</v>
      </c>
      <c r="N237" s="721">
        <v>1547.2700000000004</v>
      </c>
    </row>
    <row r="238" spans="1:14" ht="14.45" customHeight="1" x14ac:dyDescent="0.2">
      <c r="A238" s="715" t="s">
        <v>518</v>
      </c>
      <c r="B238" s="716" t="s">
        <v>519</v>
      </c>
      <c r="C238" s="717" t="s">
        <v>531</v>
      </c>
      <c r="D238" s="718" t="s">
        <v>532</v>
      </c>
      <c r="E238" s="719">
        <v>50113001</v>
      </c>
      <c r="F238" s="718" t="s">
        <v>536</v>
      </c>
      <c r="G238" s="717" t="s">
        <v>552</v>
      </c>
      <c r="H238" s="717">
        <v>166760</v>
      </c>
      <c r="I238" s="717">
        <v>166760</v>
      </c>
      <c r="J238" s="717" t="s">
        <v>953</v>
      </c>
      <c r="K238" s="717" t="s">
        <v>954</v>
      </c>
      <c r="L238" s="720">
        <v>312.47000000000003</v>
      </c>
      <c r="M238" s="720">
        <v>1</v>
      </c>
      <c r="N238" s="721">
        <v>312.47000000000003</v>
      </c>
    </row>
    <row r="239" spans="1:14" ht="14.45" customHeight="1" x14ac:dyDescent="0.2">
      <c r="A239" s="715" t="s">
        <v>518</v>
      </c>
      <c r="B239" s="716" t="s">
        <v>519</v>
      </c>
      <c r="C239" s="717" t="s">
        <v>531</v>
      </c>
      <c r="D239" s="718" t="s">
        <v>532</v>
      </c>
      <c r="E239" s="719">
        <v>50113001</v>
      </c>
      <c r="F239" s="718" t="s">
        <v>536</v>
      </c>
      <c r="G239" s="717" t="s">
        <v>537</v>
      </c>
      <c r="H239" s="717">
        <v>840522</v>
      </c>
      <c r="I239" s="717">
        <v>0</v>
      </c>
      <c r="J239" s="717" t="s">
        <v>955</v>
      </c>
      <c r="K239" s="717" t="s">
        <v>520</v>
      </c>
      <c r="L239" s="720">
        <v>337.52044481802113</v>
      </c>
      <c r="M239" s="720">
        <v>1</v>
      </c>
      <c r="N239" s="721">
        <v>337.52044481802113</v>
      </c>
    </row>
    <row r="240" spans="1:14" ht="14.45" customHeight="1" x14ac:dyDescent="0.2">
      <c r="A240" s="715" t="s">
        <v>518</v>
      </c>
      <c r="B240" s="716" t="s">
        <v>519</v>
      </c>
      <c r="C240" s="717" t="s">
        <v>531</v>
      </c>
      <c r="D240" s="718" t="s">
        <v>532</v>
      </c>
      <c r="E240" s="719">
        <v>50113001</v>
      </c>
      <c r="F240" s="718" t="s">
        <v>536</v>
      </c>
      <c r="G240" s="717" t="s">
        <v>537</v>
      </c>
      <c r="H240" s="717">
        <v>900881</v>
      </c>
      <c r="I240" s="717">
        <v>0</v>
      </c>
      <c r="J240" s="717" t="s">
        <v>956</v>
      </c>
      <c r="K240" s="717" t="s">
        <v>520</v>
      </c>
      <c r="L240" s="720">
        <v>149.87074266148039</v>
      </c>
      <c r="M240" s="720">
        <v>1</v>
      </c>
      <c r="N240" s="721">
        <v>149.87074266148039</v>
      </c>
    </row>
    <row r="241" spans="1:14" ht="14.45" customHeight="1" x14ac:dyDescent="0.2">
      <c r="A241" s="715" t="s">
        <v>518</v>
      </c>
      <c r="B241" s="716" t="s">
        <v>519</v>
      </c>
      <c r="C241" s="717" t="s">
        <v>531</v>
      </c>
      <c r="D241" s="718" t="s">
        <v>532</v>
      </c>
      <c r="E241" s="719">
        <v>50113001</v>
      </c>
      <c r="F241" s="718" t="s">
        <v>536</v>
      </c>
      <c r="G241" s="717" t="s">
        <v>537</v>
      </c>
      <c r="H241" s="717">
        <v>397238</v>
      </c>
      <c r="I241" s="717">
        <v>0</v>
      </c>
      <c r="J241" s="717" t="s">
        <v>957</v>
      </c>
      <c r="K241" s="717" t="s">
        <v>520</v>
      </c>
      <c r="L241" s="720">
        <v>136.61593153819223</v>
      </c>
      <c r="M241" s="720">
        <v>2</v>
      </c>
      <c r="N241" s="721">
        <v>273.23186307638446</v>
      </c>
    </row>
    <row r="242" spans="1:14" ht="14.45" customHeight="1" x14ac:dyDescent="0.2">
      <c r="A242" s="715" t="s">
        <v>518</v>
      </c>
      <c r="B242" s="716" t="s">
        <v>519</v>
      </c>
      <c r="C242" s="717" t="s">
        <v>531</v>
      </c>
      <c r="D242" s="718" t="s">
        <v>532</v>
      </c>
      <c r="E242" s="719">
        <v>50113001</v>
      </c>
      <c r="F242" s="718" t="s">
        <v>536</v>
      </c>
      <c r="G242" s="717" t="s">
        <v>537</v>
      </c>
      <c r="H242" s="717">
        <v>930589</v>
      </c>
      <c r="I242" s="717">
        <v>0</v>
      </c>
      <c r="J242" s="717" t="s">
        <v>958</v>
      </c>
      <c r="K242" s="717" t="s">
        <v>520</v>
      </c>
      <c r="L242" s="720">
        <v>107.08876047494846</v>
      </c>
      <c r="M242" s="720">
        <v>3</v>
      </c>
      <c r="N242" s="721">
        <v>321.26628142484537</v>
      </c>
    </row>
    <row r="243" spans="1:14" ht="14.45" customHeight="1" x14ac:dyDescent="0.2">
      <c r="A243" s="715" t="s">
        <v>518</v>
      </c>
      <c r="B243" s="716" t="s">
        <v>519</v>
      </c>
      <c r="C243" s="717" t="s">
        <v>531</v>
      </c>
      <c r="D243" s="718" t="s">
        <v>532</v>
      </c>
      <c r="E243" s="719">
        <v>50113001</v>
      </c>
      <c r="F243" s="718" t="s">
        <v>536</v>
      </c>
      <c r="G243" s="717" t="s">
        <v>537</v>
      </c>
      <c r="H243" s="717">
        <v>921458</v>
      </c>
      <c r="I243" s="717">
        <v>0</v>
      </c>
      <c r="J243" s="717" t="s">
        <v>959</v>
      </c>
      <c r="K243" s="717" t="s">
        <v>520</v>
      </c>
      <c r="L243" s="720">
        <v>112.22823242910647</v>
      </c>
      <c r="M243" s="720">
        <v>12</v>
      </c>
      <c r="N243" s="721">
        <v>1346.7387891492776</v>
      </c>
    </row>
    <row r="244" spans="1:14" ht="14.45" customHeight="1" x14ac:dyDescent="0.2">
      <c r="A244" s="715" t="s">
        <v>518</v>
      </c>
      <c r="B244" s="716" t="s">
        <v>519</v>
      </c>
      <c r="C244" s="717" t="s">
        <v>531</v>
      </c>
      <c r="D244" s="718" t="s">
        <v>532</v>
      </c>
      <c r="E244" s="719">
        <v>50113001</v>
      </c>
      <c r="F244" s="718" t="s">
        <v>536</v>
      </c>
      <c r="G244" s="717" t="s">
        <v>537</v>
      </c>
      <c r="H244" s="717">
        <v>900441</v>
      </c>
      <c r="I244" s="717">
        <v>0</v>
      </c>
      <c r="J244" s="717" t="s">
        <v>960</v>
      </c>
      <c r="K244" s="717" t="s">
        <v>961</v>
      </c>
      <c r="L244" s="720">
        <v>199.52104793355758</v>
      </c>
      <c r="M244" s="720">
        <v>3</v>
      </c>
      <c r="N244" s="721">
        <v>598.56314380067272</v>
      </c>
    </row>
    <row r="245" spans="1:14" ht="14.45" customHeight="1" x14ac:dyDescent="0.2">
      <c r="A245" s="715" t="s">
        <v>518</v>
      </c>
      <c r="B245" s="716" t="s">
        <v>519</v>
      </c>
      <c r="C245" s="717" t="s">
        <v>531</v>
      </c>
      <c r="D245" s="718" t="s">
        <v>532</v>
      </c>
      <c r="E245" s="719">
        <v>50113001</v>
      </c>
      <c r="F245" s="718" t="s">
        <v>536</v>
      </c>
      <c r="G245" s="717" t="s">
        <v>537</v>
      </c>
      <c r="H245" s="717">
        <v>900539</v>
      </c>
      <c r="I245" s="717">
        <v>0</v>
      </c>
      <c r="J245" s="717" t="s">
        <v>962</v>
      </c>
      <c r="K245" s="717" t="s">
        <v>520</v>
      </c>
      <c r="L245" s="720">
        <v>1312.7813045024857</v>
      </c>
      <c r="M245" s="720">
        <v>131</v>
      </c>
      <c r="N245" s="721">
        <v>171974.35088982561</v>
      </c>
    </row>
    <row r="246" spans="1:14" ht="14.45" customHeight="1" x14ac:dyDescent="0.2">
      <c r="A246" s="715" t="s">
        <v>518</v>
      </c>
      <c r="B246" s="716" t="s">
        <v>519</v>
      </c>
      <c r="C246" s="717" t="s">
        <v>531</v>
      </c>
      <c r="D246" s="718" t="s">
        <v>532</v>
      </c>
      <c r="E246" s="719">
        <v>50113001</v>
      </c>
      <c r="F246" s="718" t="s">
        <v>536</v>
      </c>
      <c r="G246" s="717" t="s">
        <v>537</v>
      </c>
      <c r="H246" s="717">
        <v>921231</v>
      </c>
      <c r="I246" s="717">
        <v>0</v>
      </c>
      <c r="J246" s="717" t="s">
        <v>963</v>
      </c>
      <c r="K246" s="717" t="s">
        <v>520</v>
      </c>
      <c r="L246" s="720">
        <v>216.80527820491679</v>
      </c>
      <c r="M246" s="720">
        <v>230</v>
      </c>
      <c r="N246" s="721">
        <v>49865.213987130861</v>
      </c>
    </row>
    <row r="247" spans="1:14" ht="14.45" customHeight="1" x14ac:dyDescent="0.2">
      <c r="A247" s="715" t="s">
        <v>518</v>
      </c>
      <c r="B247" s="716" t="s">
        <v>519</v>
      </c>
      <c r="C247" s="717" t="s">
        <v>531</v>
      </c>
      <c r="D247" s="718" t="s">
        <v>532</v>
      </c>
      <c r="E247" s="719">
        <v>50113001</v>
      </c>
      <c r="F247" s="718" t="s">
        <v>536</v>
      </c>
      <c r="G247" s="717" t="s">
        <v>537</v>
      </c>
      <c r="H247" s="717">
        <v>501736</v>
      </c>
      <c r="I247" s="717">
        <v>0</v>
      </c>
      <c r="J247" s="717" t="s">
        <v>964</v>
      </c>
      <c r="K247" s="717" t="s">
        <v>520</v>
      </c>
      <c r="L247" s="720">
        <v>177.87266877247123</v>
      </c>
      <c r="M247" s="720">
        <v>115</v>
      </c>
      <c r="N247" s="721">
        <v>20455.35690883419</v>
      </c>
    </row>
    <row r="248" spans="1:14" ht="14.45" customHeight="1" x14ac:dyDescent="0.2">
      <c r="A248" s="715" t="s">
        <v>518</v>
      </c>
      <c r="B248" s="716" t="s">
        <v>519</v>
      </c>
      <c r="C248" s="717" t="s">
        <v>531</v>
      </c>
      <c r="D248" s="718" t="s">
        <v>532</v>
      </c>
      <c r="E248" s="719">
        <v>50113001</v>
      </c>
      <c r="F248" s="718" t="s">
        <v>536</v>
      </c>
      <c r="G248" s="717" t="s">
        <v>537</v>
      </c>
      <c r="H248" s="717">
        <v>500979</v>
      </c>
      <c r="I248" s="717">
        <v>0</v>
      </c>
      <c r="J248" s="717" t="s">
        <v>965</v>
      </c>
      <c r="K248" s="717" t="s">
        <v>520</v>
      </c>
      <c r="L248" s="720">
        <v>61.19100000000001</v>
      </c>
      <c r="M248" s="720">
        <v>3</v>
      </c>
      <c r="N248" s="721">
        <v>183.57300000000004</v>
      </c>
    </row>
    <row r="249" spans="1:14" ht="14.45" customHeight="1" x14ac:dyDescent="0.2">
      <c r="A249" s="715" t="s">
        <v>518</v>
      </c>
      <c r="B249" s="716" t="s">
        <v>519</v>
      </c>
      <c r="C249" s="717" t="s">
        <v>531</v>
      </c>
      <c r="D249" s="718" t="s">
        <v>532</v>
      </c>
      <c r="E249" s="719">
        <v>50113001</v>
      </c>
      <c r="F249" s="718" t="s">
        <v>536</v>
      </c>
      <c r="G249" s="717" t="s">
        <v>537</v>
      </c>
      <c r="H249" s="717">
        <v>900875</v>
      </c>
      <c r="I249" s="717">
        <v>0</v>
      </c>
      <c r="J249" s="717" t="s">
        <v>966</v>
      </c>
      <c r="K249" s="717" t="s">
        <v>520</v>
      </c>
      <c r="L249" s="720">
        <v>404.6481</v>
      </c>
      <c r="M249" s="720">
        <v>1</v>
      </c>
      <c r="N249" s="721">
        <v>404.6481</v>
      </c>
    </row>
    <row r="250" spans="1:14" ht="14.45" customHeight="1" x14ac:dyDescent="0.2">
      <c r="A250" s="715" t="s">
        <v>518</v>
      </c>
      <c r="B250" s="716" t="s">
        <v>519</v>
      </c>
      <c r="C250" s="717" t="s">
        <v>531</v>
      </c>
      <c r="D250" s="718" t="s">
        <v>532</v>
      </c>
      <c r="E250" s="719">
        <v>50113001</v>
      </c>
      <c r="F250" s="718" t="s">
        <v>536</v>
      </c>
      <c r="G250" s="717" t="s">
        <v>537</v>
      </c>
      <c r="H250" s="717">
        <v>900321</v>
      </c>
      <c r="I250" s="717">
        <v>0</v>
      </c>
      <c r="J250" s="717" t="s">
        <v>967</v>
      </c>
      <c r="K250" s="717" t="s">
        <v>520</v>
      </c>
      <c r="L250" s="720">
        <v>323.13407193150488</v>
      </c>
      <c r="M250" s="720">
        <v>1</v>
      </c>
      <c r="N250" s="721">
        <v>323.13407193150488</v>
      </c>
    </row>
    <row r="251" spans="1:14" ht="14.45" customHeight="1" x14ac:dyDescent="0.2">
      <c r="A251" s="715" t="s">
        <v>518</v>
      </c>
      <c r="B251" s="716" t="s">
        <v>519</v>
      </c>
      <c r="C251" s="717" t="s">
        <v>531</v>
      </c>
      <c r="D251" s="718" t="s">
        <v>532</v>
      </c>
      <c r="E251" s="719">
        <v>50113001</v>
      </c>
      <c r="F251" s="718" t="s">
        <v>536</v>
      </c>
      <c r="G251" s="717" t="s">
        <v>537</v>
      </c>
      <c r="H251" s="717">
        <v>501990</v>
      </c>
      <c r="I251" s="717">
        <v>0</v>
      </c>
      <c r="J251" s="717" t="s">
        <v>968</v>
      </c>
      <c r="K251" s="717" t="s">
        <v>520</v>
      </c>
      <c r="L251" s="720">
        <v>925.30326234602842</v>
      </c>
      <c r="M251" s="720">
        <v>2</v>
      </c>
      <c r="N251" s="721">
        <v>1850.6065246920568</v>
      </c>
    </row>
    <row r="252" spans="1:14" ht="14.45" customHeight="1" x14ac:dyDescent="0.2">
      <c r="A252" s="715" t="s">
        <v>518</v>
      </c>
      <c r="B252" s="716" t="s">
        <v>519</v>
      </c>
      <c r="C252" s="717" t="s">
        <v>531</v>
      </c>
      <c r="D252" s="718" t="s">
        <v>532</v>
      </c>
      <c r="E252" s="719">
        <v>50113001</v>
      </c>
      <c r="F252" s="718" t="s">
        <v>536</v>
      </c>
      <c r="G252" s="717" t="s">
        <v>537</v>
      </c>
      <c r="H252" s="717">
        <v>501065</v>
      </c>
      <c r="I252" s="717">
        <v>0</v>
      </c>
      <c r="J252" s="717" t="s">
        <v>969</v>
      </c>
      <c r="K252" s="717" t="s">
        <v>520</v>
      </c>
      <c r="L252" s="720">
        <v>240.52952319733222</v>
      </c>
      <c r="M252" s="720">
        <v>6</v>
      </c>
      <c r="N252" s="721">
        <v>1443.1771391839934</v>
      </c>
    </row>
    <row r="253" spans="1:14" ht="14.45" customHeight="1" x14ac:dyDescent="0.2">
      <c r="A253" s="715" t="s">
        <v>518</v>
      </c>
      <c r="B253" s="716" t="s">
        <v>519</v>
      </c>
      <c r="C253" s="717" t="s">
        <v>531</v>
      </c>
      <c r="D253" s="718" t="s">
        <v>532</v>
      </c>
      <c r="E253" s="719">
        <v>50113001</v>
      </c>
      <c r="F253" s="718" t="s">
        <v>536</v>
      </c>
      <c r="G253" s="717" t="s">
        <v>537</v>
      </c>
      <c r="H253" s="717">
        <v>920356</v>
      </c>
      <c r="I253" s="717">
        <v>0</v>
      </c>
      <c r="J253" s="717" t="s">
        <v>970</v>
      </c>
      <c r="K253" s="717" t="s">
        <v>520</v>
      </c>
      <c r="L253" s="720">
        <v>105.19053122158705</v>
      </c>
      <c r="M253" s="720">
        <v>3</v>
      </c>
      <c r="N253" s="721">
        <v>315.57159366476117</v>
      </c>
    </row>
    <row r="254" spans="1:14" ht="14.45" customHeight="1" x14ac:dyDescent="0.2">
      <c r="A254" s="715" t="s">
        <v>518</v>
      </c>
      <c r="B254" s="716" t="s">
        <v>519</v>
      </c>
      <c r="C254" s="717" t="s">
        <v>531</v>
      </c>
      <c r="D254" s="718" t="s">
        <v>532</v>
      </c>
      <c r="E254" s="719">
        <v>50113001</v>
      </c>
      <c r="F254" s="718" t="s">
        <v>536</v>
      </c>
      <c r="G254" s="717" t="s">
        <v>537</v>
      </c>
      <c r="H254" s="717">
        <v>900012</v>
      </c>
      <c r="I254" s="717">
        <v>0</v>
      </c>
      <c r="J254" s="717" t="s">
        <v>971</v>
      </c>
      <c r="K254" s="717" t="s">
        <v>520</v>
      </c>
      <c r="L254" s="720">
        <v>55.253804878674792</v>
      </c>
      <c r="M254" s="720">
        <v>3</v>
      </c>
      <c r="N254" s="721">
        <v>165.76141463602437</v>
      </c>
    </row>
    <row r="255" spans="1:14" ht="14.45" customHeight="1" x14ac:dyDescent="0.2">
      <c r="A255" s="715" t="s">
        <v>518</v>
      </c>
      <c r="B255" s="716" t="s">
        <v>519</v>
      </c>
      <c r="C255" s="717" t="s">
        <v>531</v>
      </c>
      <c r="D255" s="718" t="s">
        <v>532</v>
      </c>
      <c r="E255" s="719">
        <v>50113001</v>
      </c>
      <c r="F255" s="718" t="s">
        <v>536</v>
      </c>
      <c r="G255" s="717" t="s">
        <v>537</v>
      </c>
      <c r="H255" s="717">
        <v>921135</v>
      </c>
      <c r="I255" s="717">
        <v>0</v>
      </c>
      <c r="J255" s="717" t="s">
        <v>972</v>
      </c>
      <c r="K255" s="717" t="s">
        <v>973</v>
      </c>
      <c r="L255" s="720">
        <v>247.21231569677968</v>
      </c>
      <c r="M255" s="720">
        <v>100</v>
      </c>
      <c r="N255" s="721">
        <v>24721.23156967797</v>
      </c>
    </row>
    <row r="256" spans="1:14" ht="14.45" customHeight="1" x14ac:dyDescent="0.2">
      <c r="A256" s="715" t="s">
        <v>518</v>
      </c>
      <c r="B256" s="716" t="s">
        <v>519</v>
      </c>
      <c r="C256" s="717" t="s">
        <v>531</v>
      </c>
      <c r="D256" s="718" t="s">
        <v>532</v>
      </c>
      <c r="E256" s="719">
        <v>50113001</v>
      </c>
      <c r="F256" s="718" t="s">
        <v>536</v>
      </c>
      <c r="G256" s="717" t="s">
        <v>537</v>
      </c>
      <c r="H256" s="717">
        <v>921064</v>
      </c>
      <c r="I256" s="717">
        <v>0</v>
      </c>
      <c r="J256" s="717" t="s">
        <v>974</v>
      </c>
      <c r="K256" s="717" t="s">
        <v>520</v>
      </c>
      <c r="L256" s="720">
        <v>83.354255128558506</v>
      </c>
      <c r="M256" s="720">
        <v>1</v>
      </c>
      <c r="N256" s="721">
        <v>83.354255128558506</v>
      </c>
    </row>
    <row r="257" spans="1:14" ht="14.45" customHeight="1" x14ac:dyDescent="0.2">
      <c r="A257" s="715" t="s">
        <v>518</v>
      </c>
      <c r="B257" s="716" t="s">
        <v>519</v>
      </c>
      <c r="C257" s="717" t="s">
        <v>531</v>
      </c>
      <c r="D257" s="718" t="s">
        <v>532</v>
      </c>
      <c r="E257" s="719">
        <v>50113001</v>
      </c>
      <c r="F257" s="718" t="s">
        <v>536</v>
      </c>
      <c r="G257" s="717" t="s">
        <v>537</v>
      </c>
      <c r="H257" s="717">
        <v>900518</v>
      </c>
      <c r="I257" s="717">
        <v>0</v>
      </c>
      <c r="J257" s="717" t="s">
        <v>975</v>
      </c>
      <c r="K257" s="717" t="s">
        <v>520</v>
      </c>
      <c r="L257" s="720">
        <v>244.79171740214792</v>
      </c>
      <c r="M257" s="720">
        <v>1</v>
      </c>
      <c r="N257" s="721">
        <v>244.79171740214792</v>
      </c>
    </row>
    <row r="258" spans="1:14" ht="14.45" customHeight="1" x14ac:dyDescent="0.2">
      <c r="A258" s="715" t="s">
        <v>518</v>
      </c>
      <c r="B258" s="716" t="s">
        <v>519</v>
      </c>
      <c r="C258" s="717" t="s">
        <v>531</v>
      </c>
      <c r="D258" s="718" t="s">
        <v>532</v>
      </c>
      <c r="E258" s="719">
        <v>50113001</v>
      </c>
      <c r="F258" s="718" t="s">
        <v>536</v>
      </c>
      <c r="G258" s="717" t="s">
        <v>537</v>
      </c>
      <c r="H258" s="717">
        <v>921230</v>
      </c>
      <c r="I258" s="717">
        <v>0</v>
      </c>
      <c r="J258" s="717" t="s">
        <v>976</v>
      </c>
      <c r="K258" s="717" t="s">
        <v>520</v>
      </c>
      <c r="L258" s="720">
        <v>46.304141026539099</v>
      </c>
      <c r="M258" s="720">
        <v>375</v>
      </c>
      <c r="N258" s="721">
        <v>17364.052884952162</v>
      </c>
    </row>
    <row r="259" spans="1:14" ht="14.45" customHeight="1" x14ac:dyDescent="0.2">
      <c r="A259" s="715" t="s">
        <v>518</v>
      </c>
      <c r="B259" s="716" t="s">
        <v>519</v>
      </c>
      <c r="C259" s="717" t="s">
        <v>531</v>
      </c>
      <c r="D259" s="718" t="s">
        <v>532</v>
      </c>
      <c r="E259" s="719">
        <v>50113001</v>
      </c>
      <c r="F259" s="718" t="s">
        <v>536</v>
      </c>
      <c r="G259" s="717" t="s">
        <v>537</v>
      </c>
      <c r="H259" s="717">
        <v>921403</v>
      </c>
      <c r="I259" s="717">
        <v>0</v>
      </c>
      <c r="J259" s="717" t="s">
        <v>977</v>
      </c>
      <c r="K259" s="717" t="s">
        <v>520</v>
      </c>
      <c r="L259" s="720">
        <v>52.765903053766742</v>
      </c>
      <c r="M259" s="720">
        <v>30</v>
      </c>
      <c r="N259" s="721">
        <v>1582.9770916130024</v>
      </c>
    </row>
    <row r="260" spans="1:14" ht="14.45" customHeight="1" x14ac:dyDescent="0.2">
      <c r="A260" s="715" t="s">
        <v>518</v>
      </c>
      <c r="B260" s="716" t="s">
        <v>519</v>
      </c>
      <c r="C260" s="717" t="s">
        <v>531</v>
      </c>
      <c r="D260" s="718" t="s">
        <v>532</v>
      </c>
      <c r="E260" s="719">
        <v>50113001</v>
      </c>
      <c r="F260" s="718" t="s">
        <v>536</v>
      </c>
      <c r="G260" s="717" t="s">
        <v>537</v>
      </c>
      <c r="H260" s="717">
        <v>921459</v>
      </c>
      <c r="I260" s="717">
        <v>0</v>
      </c>
      <c r="J260" s="717" t="s">
        <v>978</v>
      </c>
      <c r="K260" s="717" t="s">
        <v>520</v>
      </c>
      <c r="L260" s="720">
        <v>331.60670127354422</v>
      </c>
      <c r="M260" s="720">
        <v>2</v>
      </c>
      <c r="N260" s="721">
        <v>663.21340254708844</v>
      </c>
    </row>
    <row r="261" spans="1:14" ht="14.45" customHeight="1" x14ac:dyDescent="0.2">
      <c r="A261" s="715" t="s">
        <v>518</v>
      </c>
      <c r="B261" s="716" t="s">
        <v>519</v>
      </c>
      <c r="C261" s="717" t="s">
        <v>531</v>
      </c>
      <c r="D261" s="718" t="s">
        <v>532</v>
      </c>
      <c r="E261" s="719">
        <v>50113001</v>
      </c>
      <c r="F261" s="718" t="s">
        <v>536</v>
      </c>
      <c r="G261" s="717" t="s">
        <v>537</v>
      </c>
      <c r="H261" s="717">
        <v>921136</v>
      </c>
      <c r="I261" s="717">
        <v>0</v>
      </c>
      <c r="J261" s="717" t="s">
        <v>979</v>
      </c>
      <c r="K261" s="717" t="s">
        <v>520</v>
      </c>
      <c r="L261" s="720">
        <v>115.21766842663315</v>
      </c>
      <c r="M261" s="720">
        <v>3</v>
      </c>
      <c r="N261" s="721">
        <v>345.65300527989945</v>
      </c>
    </row>
    <row r="262" spans="1:14" ht="14.45" customHeight="1" x14ac:dyDescent="0.2">
      <c r="A262" s="715" t="s">
        <v>518</v>
      </c>
      <c r="B262" s="716" t="s">
        <v>519</v>
      </c>
      <c r="C262" s="717" t="s">
        <v>531</v>
      </c>
      <c r="D262" s="718" t="s">
        <v>532</v>
      </c>
      <c r="E262" s="719">
        <v>50113001</v>
      </c>
      <c r="F262" s="718" t="s">
        <v>536</v>
      </c>
      <c r="G262" s="717" t="s">
        <v>537</v>
      </c>
      <c r="H262" s="717">
        <v>990947</v>
      </c>
      <c r="I262" s="717">
        <v>0</v>
      </c>
      <c r="J262" s="717" t="s">
        <v>980</v>
      </c>
      <c r="K262" s="717" t="s">
        <v>520</v>
      </c>
      <c r="L262" s="720">
        <v>1402.0100000000002</v>
      </c>
      <c r="M262" s="720">
        <v>1</v>
      </c>
      <c r="N262" s="721">
        <v>1402.0100000000002</v>
      </c>
    </row>
    <row r="263" spans="1:14" ht="14.45" customHeight="1" x14ac:dyDescent="0.2">
      <c r="A263" s="715" t="s">
        <v>518</v>
      </c>
      <c r="B263" s="716" t="s">
        <v>519</v>
      </c>
      <c r="C263" s="717" t="s">
        <v>531</v>
      </c>
      <c r="D263" s="718" t="s">
        <v>532</v>
      </c>
      <c r="E263" s="719">
        <v>50113001</v>
      </c>
      <c r="F263" s="718" t="s">
        <v>536</v>
      </c>
      <c r="G263" s="717" t="s">
        <v>537</v>
      </c>
      <c r="H263" s="717">
        <v>230609</v>
      </c>
      <c r="I263" s="717">
        <v>230609</v>
      </c>
      <c r="J263" s="717" t="s">
        <v>981</v>
      </c>
      <c r="K263" s="717" t="s">
        <v>982</v>
      </c>
      <c r="L263" s="720">
        <v>178.95</v>
      </c>
      <c r="M263" s="720">
        <v>1</v>
      </c>
      <c r="N263" s="721">
        <v>178.95</v>
      </c>
    </row>
    <row r="264" spans="1:14" ht="14.45" customHeight="1" x14ac:dyDescent="0.2">
      <c r="A264" s="715" t="s">
        <v>518</v>
      </c>
      <c r="B264" s="716" t="s">
        <v>519</v>
      </c>
      <c r="C264" s="717" t="s">
        <v>531</v>
      </c>
      <c r="D264" s="718" t="s">
        <v>532</v>
      </c>
      <c r="E264" s="719">
        <v>50113001</v>
      </c>
      <c r="F264" s="718" t="s">
        <v>536</v>
      </c>
      <c r="G264" s="717" t="s">
        <v>537</v>
      </c>
      <c r="H264" s="717">
        <v>840221</v>
      </c>
      <c r="I264" s="717">
        <v>0</v>
      </c>
      <c r="J264" s="717" t="s">
        <v>983</v>
      </c>
      <c r="K264" s="717" t="s">
        <v>520</v>
      </c>
      <c r="L264" s="720">
        <v>214.08</v>
      </c>
      <c r="M264" s="720">
        <v>4</v>
      </c>
      <c r="N264" s="721">
        <v>856.32</v>
      </c>
    </row>
    <row r="265" spans="1:14" ht="14.45" customHeight="1" x14ac:dyDescent="0.2">
      <c r="A265" s="715" t="s">
        <v>518</v>
      </c>
      <c r="B265" s="716" t="s">
        <v>519</v>
      </c>
      <c r="C265" s="717" t="s">
        <v>531</v>
      </c>
      <c r="D265" s="718" t="s">
        <v>532</v>
      </c>
      <c r="E265" s="719">
        <v>50113001</v>
      </c>
      <c r="F265" s="718" t="s">
        <v>536</v>
      </c>
      <c r="G265" s="717" t="s">
        <v>537</v>
      </c>
      <c r="H265" s="717">
        <v>840220</v>
      </c>
      <c r="I265" s="717">
        <v>0</v>
      </c>
      <c r="J265" s="717" t="s">
        <v>984</v>
      </c>
      <c r="K265" s="717" t="s">
        <v>520</v>
      </c>
      <c r="L265" s="720">
        <v>214.12724999999995</v>
      </c>
      <c r="M265" s="720">
        <v>40</v>
      </c>
      <c r="N265" s="721">
        <v>8565.0899999999983</v>
      </c>
    </row>
    <row r="266" spans="1:14" ht="14.45" customHeight="1" x14ac:dyDescent="0.2">
      <c r="A266" s="715" t="s">
        <v>518</v>
      </c>
      <c r="B266" s="716" t="s">
        <v>519</v>
      </c>
      <c r="C266" s="717" t="s">
        <v>531</v>
      </c>
      <c r="D266" s="718" t="s">
        <v>532</v>
      </c>
      <c r="E266" s="719">
        <v>50113001</v>
      </c>
      <c r="F266" s="718" t="s">
        <v>536</v>
      </c>
      <c r="G266" s="717" t="s">
        <v>537</v>
      </c>
      <c r="H266" s="717">
        <v>119571</v>
      </c>
      <c r="I266" s="717">
        <v>19571</v>
      </c>
      <c r="J266" s="717" t="s">
        <v>985</v>
      </c>
      <c r="K266" s="717" t="s">
        <v>986</v>
      </c>
      <c r="L266" s="720">
        <v>225.61</v>
      </c>
      <c r="M266" s="720">
        <v>1</v>
      </c>
      <c r="N266" s="721">
        <v>225.61</v>
      </c>
    </row>
    <row r="267" spans="1:14" ht="14.45" customHeight="1" x14ac:dyDescent="0.2">
      <c r="A267" s="715" t="s">
        <v>518</v>
      </c>
      <c r="B267" s="716" t="s">
        <v>519</v>
      </c>
      <c r="C267" s="717" t="s">
        <v>531</v>
      </c>
      <c r="D267" s="718" t="s">
        <v>532</v>
      </c>
      <c r="E267" s="719">
        <v>50113001</v>
      </c>
      <c r="F267" s="718" t="s">
        <v>536</v>
      </c>
      <c r="G267" s="717" t="s">
        <v>552</v>
      </c>
      <c r="H267" s="717">
        <v>187427</v>
      </c>
      <c r="I267" s="717">
        <v>187427</v>
      </c>
      <c r="J267" s="717" t="s">
        <v>987</v>
      </c>
      <c r="K267" s="717" t="s">
        <v>988</v>
      </c>
      <c r="L267" s="720">
        <v>62.646666666666668</v>
      </c>
      <c r="M267" s="720">
        <v>12</v>
      </c>
      <c r="N267" s="721">
        <v>751.76</v>
      </c>
    </row>
    <row r="268" spans="1:14" ht="14.45" customHeight="1" x14ac:dyDescent="0.2">
      <c r="A268" s="715" t="s">
        <v>518</v>
      </c>
      <c r="B268" s="716" t="s">
        <v>519</v>
      </c>
      <c r="C268" s="717" t="s">
        <v>531</v>
      </c>
      <c r="D268" s="718" t="s">
        <v>532</v>
      </c>
      <c r="E268" s="719">
        <v>50113001</v>
      </c>
      <c r="F268" s="718" t="s">
        <v>536</v>
      </c>
      <c r="G268" s="717" t="s">
        <v>552</v>
      </c>
      <c r="H268" s="717">
        <v>147133</v>
      </c>
      <c r="I268" s="717">
        <v>172044</v>
      </c>
      <c r="J268" s="717" t="s">
        <v>989</v>
      </c>
      <c r="K268" s="717" t="s">
        <v>990</v>
      </c>
      <c r="L268" s="720">
        <v>98.092500000000015</v>
      </c>
      <c r="M268" s="720">
        <v>4</v>
      </c>
      <c r="N268" s="721">
        <v>392.37000000000006</v>
      </c>
    </row>
    <row r="269" spans="1:14" ht="14.45" customHeight="1" x14ac:dyDescent="0.2">
      <c r="A269" s="715" t="s">
        <v>518</v>
      </c>
      <c r="B269" s="716" t="s">
        <v>519</v>
      </c>
      <c r="C269" s="717" t="s">
        <v>531</v>
      </c>
      <c r="D269" s="718" t="s">
        <v>532</v>
      </c>
      <c r="E269" s="719">
        <v>50113001</v>
      </c>
      <c r="F269" s="718" t="s">
        <v>536</v>
      </c>
      <c r="G269" s="717" t="s">
        <v>552</v>
      </c>
      <c r="H269" s="717">
        <v>187425</v>
      </c>
      <c r="I269" s="717">
        <v>187425</v>
      </c>
      <c r="J269" s="717" t="s">
        <v>991</v>
      </c>
      <c r="K269" s="717" t="s">
        <v>992</v>
      </c>
      <c r="L269" s="720">
        <v>49.368333333333339</v>
      </c>
      <c r="M269" s="720">
        <v>6</v>
      </c>
      <c r="N269" s="721">
        <v>296.21000000000004</v>
      </c>
    </row>
    <row r="270" spans="1:14" ht="14.45" customHeight="1" x14ac:dyDescent="0.2">
      <c r="A270" s="715" t="s">
        <v>518</v>
      </c>
      <c r="B270" s="716" t="s">
        <v>519</v>
      </c>
      <c r="C270" s="717" t="s">
        <v>531</v>
      </c>
      <c r="D270" s="718" t="s">
        <v>532</v>
      </c>
      <c r="E270" s="719">
        <v>50113001</v>
      </c>
      <c r="F270" s="718" t="s">
        <v>536</v>
      </c>
      <c r="G270" s="717" t="s">
        <v>537</v>
      </c>
      <c r="H270" s="717">
        <v>216679</v>
      </c>
      <c r="I270" s="717">
        <v>216679</v>
      </c>
      <c r="J270" s="717" t="s">
        <v>993</v>
      </c>
      <c r="K270" s="717" t="s">
        <v>994</v>
      </c>
      <c r="L270" s="720">
        <v>115.19199688210379</v>
      </c>
      <c r="M270" s="720">
        <v>2</v>
      </c>
      <c r="N270" s="721">
        <v>230.38399376420759</v>
      </c>
    </row>
    <row r="271" spans="1:14" ht="14.45" customHeight="1" x14ac:dyDescent="0.2">
      <c r="A271" s="715" t="s">
        <v>518</v>
      </c>
      <c r="B271" s="716" t="s">
        <v>519</v>
      </c>
      <c r="C271" s="717" t="s">
        <v>531</v>
      </c>
      <c r="D271" s="718" t="s">
        <v>532</v>
      </c>
      <c r="E271" s="719">
        <v>50113001</v>
      </c>
      <c r="F271" s="718" t="s">
        <v>536</v>
      </c>
      <c r="G271" s="717" t="s">
        <v>537</v>
      </c>
      <c r="H271" s="717">
        <v>188217</v>
      </c>
      <c r="I271" s="717">
        <v>88217</v>
      </c>
      <c r="J271" s="717" t="s">
        <v>993</v>
      </c>
      <c r="K271" s="717" t="s">
        <v>995</v>
      </c>
      <c r="L271" s="720">
        <v>127.17634146341464</v>
      </c>
      <c r="M271" s="720">
        <v>41</v>
      </c>
      <c r="N271" s="721">
        <v>5214.2300000000005</v>
      </c>
    </row>
    <row r="272" spans="1:14" ht="14.45" customHeight="1" x14ac:dyDescent="0.2">
      <c r="A272" s="715" t="s">
        <v>518</v>
      </c>
      <c r="B272" s="716" t="s">
        <v>519</v>
      </c>
      <c r="C272" s="717" t="s">
        <v>531</v>
      </c>
      <c r="D272" s="718" t="s">
        <v>532</v>
      </c>
      <c r="E272" s="719">
        <v>50113001</v>
      </c>
      <c r="F272" s="718" t="s">
        <v>536</v>
      </c>
      <c r="G272" s="717" t="s">
        <v>537</v>
      </c>
      <c r="H272" s="717">
        <v>188219</v>
      </c>
      <c r="I272" s="717">
        <v>88219</v>
      </c>
      <c r="J272" s="717" t="s">
        <v>996</v>
      </c>
      <c r="K272" s="717" t="s">
        <v>997</v>
      </c>
      <c r="L272" s="720">
        <v>142.07999999999998</v>
      </c>
      <c r="M272" s="720">
        <v>2</v>
      </c>
      <c r="N272" s="721">
        <v>284.15999999999997</v>
      </c>
    </row>
    <row r="273" spans="1:14" ht="14.45" customHeight="1" x14ac:dyDescent="0.2">
      <c r="A273" s="715" t="s">
        <v>518</v>
      </c>
      <c r="B273" s="716" t="s">
        <v>519</v>
      </c>
      <c r="C273" s="717" t="s">
        <v>531</v>
      </c>
      <c r="D273" s="718" t="s">
        <v>532</v>
      </c>
      <c r="E273" s="719">
        <v>50113001</v>
      </c>
      <c r="F273" s="718" t="s">
        <v>536</v>
      </c>
      <c r="G273" s="717" t="s">
        <v>537</v>
      </c>
      <c r="H273" s="717">
        <v>203092</v>
      </c>
      <c r="I273" s="717">
        <v>203092</v>
      </c>
      <c r="J273" s="717" t="s">
        <v>998</v>
      </c>
      <c r="K273" s="717" t="s">
        <v>999</v>
      </c>
      <c r="L273" s="720">
        <v>149.05000000000001</v>
      </c>
      <c r="M273" s="720">
        <v>1</v>
      </c>
      <c r="N273" s="721">
        <v>149.05000000000001</v>
      </c>
    </row>
    <row r="274" spans="1:14" ht="14.45" customHeight="1" x14ac:dyDescent="0.2">
      <c r="A274" s="715" t="s">
        <v>518</v>
      </c>
      <c r="B274" s="716" t="s">
        <v>519</v>
      </c>
      <c r="C274" s="717" t="s">
        <v>531</v>
      </c>
      <c r="D274" s="718" t="s">
        <v>532</v>
      </c>
      <c r="E274" s="719">
        <v>50113001</v>
      </c>
      <c r="F274" s="718" t="s">
        <v>536</v>
      </c>
      <c r="G274" s="717" t="s">
        <v>552</v>
      </c>
      <c r="H274" s="717">
        <v>149910</v>
      </c>
      <c r="I274" s="717">
        <v>49910</v>
      </c>
      <c r="J274" s="717" t="s">
        <v>1000</v>
      </c>
      <c r="K274" s="717" t="s">
        <v>1001</v>
      </c>
      <c r="L274" s="720">
        <v>99.469999999999985</v>
      </c>
      <c r="M274" s="720">
        <v>1</v>
      </c>
      <c r="N274" s="721">
        <v>99.469999999999985</v>
      </c>
    </row>
    <row r="275" spans="1:14" ht="14.45" customHeight="1" x14ac:dyDescent="0.2">
      <c r="A275" s="715" t="s">
        <v>518</v>
      </c>
      <c r="B275" s="716" t="s">
        <v>519</v>
      </c>
      <c r="C275" s="717" t="s">
        <v>531</v>
      </c>
      <c r="D275" s="718" t="s">
        <v>532</v>
      </c>
      <c r="E275" s="719">
        <v>50113001</v>
      </c>
      <c r="F275" s="718" t="s">
        <v>536</v>
      </c>
      <c r="G275" s="717" t="s">
        <v>537</v>
      </c>
      <c r="H275" s="717">
        <v>192853</v>
      </c>
      <c r="I275" s="717">
        <v>192853</v>
      </c>
      <c r="J275" s="717" t="s">
        <v>1002</v>
      </c>
      <c r="K275" s="717" t="s">
        <v>1003</v>
      </c>
      <c r="L275" s="720">
        <v>107.88857142857142</v>
      </c>
      <c r="M275" s="720">
        <v>21</v>
      </c>
      <c r="N275" s="721">
        <v>2265.66</v>
      </c>
    </row>
    <row r="276" spans="1:14" ht="14.45" customHeight="1" x14ac:dyDescent="0.2">
      <c r="A276" s="715" t="s">
        <v>518</v>
      </c>
      <c r="B276" s="716" t="s">
        <v>519</v>
      </c>
      <c r="C276" s="717" t="s">
        <v>531</v>
      </c>
      <c r="D276" s="718" t="s">
        <v>532</v>
      </c>
      <c r="E276" s="719">
        <v>50113001</v>
      </c>
      <c r="F276" s="718" t="s">
        <v>536</v>
      </c>
      <c r="G276" s="717" t="s">
        <v>537</v>
      </c>
      <c r="H276" s="717">
        <v>110151</v>
      </c>
      <c r="I276" s="717">
        <v>10151</v>
      </c>
      <c r="J276" s="717" t="s">
        <v>1002</v>
      </c>
      <c r="K276" s="717" t="s">
        <v>1004</v>
      </c>
      <c r="L276" s="720">
        <v>66.086415094339642</v>
      </c>
      <c r="M276" s="720">
        <v>53</v>
      </c>
      <c r="N276" s="721">
        <v>3502.5800000000008</v>
      </c>
    </row>
    <row r="277" spans="1:14" ht="14.45" customHeight="1" x14ac:dyDescent="0.2">
      <c r="A277" s="715" t="s">
        <v>518</v>
      </c>
      <c r="B277" s="716" t="s">
        <v>519</v>
      </c>
      <c r="C277" s="717" t="s">
        <v>531</v>
      </c>
      <c r="D277" s="718" t="s">
        <v>532</v>
      </c>
      <c r="E277" s="719">
        <v>50113001</v>
      </c>
      <c r="F277" s="718" t="s">
        <v>536</v>
      </c>
      <c r="G277" s="717" t="s">
        <v>552</v>
      </c>
      <c r="H277" s="717">
        <v>844378</v>
      </c>
      <c r="I277" s="717">
        <v>114067</v>
      </c>
      <c r="J277" s="717" t="s">
        <v>1005</v>
      </c>
      <c r="K277" s="717" t="s">
        <v>1006</v>
      </c>
      <c r="L277" s="720">
        <v>48.54</v>
      </c>
      <c r="M277" s="720">
        <v>1</v>
      </c>
      <c r="N277" s="721">
        <v>48.54</v>
      </c>
    </row>
    <row r="278" spans="1:14" ht="14.45" customHeight="1" x14ac:dyDescent="0.2">
      <c r="A278" s="715" t="s">
        <v>518</v>
      </c>
      <c r="B278" s="716" t="s">
        <v>519</v>
      </c>
      <c r="C278" s="717" t="s">
        <v>531</v>
      </c>
      <c r="D278" s="718" t="s">
        <v>532</v>
      </c>
      <c r="E278" s="719">
        <v>50113001</v>
      </c>
      <c r="F278" s="718" t="s">
        <v>536</v>
      </c>
      <c r="G278" s="717" t="s">
        <v>520</v>
      </c>
      <c r="H278" s="717">
        <v>850041</v>
      </c>
      <c r="I278" s="717">
        <v>128710</v>
      </c>
      <c r="J278" s="717" t="s">
        <v>1007</v>
      </c>
      <c r="K278" s="717" t="s">
        <v>1008</v>
      </c>
      <c r="L278" s="720">
        <v>174.17</v>
      </c>
      <c r="M278" s="720">
        <v>1</v>
      </c>
      <c r="N278" s="721">
        <v>174.17</v>
      </c>
    </row>
    <row r="279" spans="1:14" ht="14.45" customHeight="1" x14ac:dyDescent="0.2">
      <c r="A279" s="715" t="s">
        <v>518</v>
      </c>
      <c r="B279" s="716" t="s">
        <v>519</v>
      </c>
      <c r="C279" s="717" t="s">
        <v>531</v>
      </c>
      <c r="D279" s="718" t="s">
        <v>532</v>
      </c>
      <c r="E279" s="719">
        <v>50113001</v>
      </c>
      <c r="F279" s="718" t="s">
        <v>536</v>
      </c>
      <c r="G279" s="717" t="s">
        <v>537</v>
      </c>
      <c r="H279" s="717">
        <v>128216</v>
      </c>
      <c r="I279" s="717">
        <v>28216</v>
      </c>
      <c r="J279" s="717" t="s">
        <v>1009</v>
      </c>
      <c r="K279" s="717" t="s">
        <v>1010</v>
      </c>
      <c r="L279" s="720">
        <v>41.174999999999997</v>
      </c>
      <c r="M279" s="720">
        <v>2</v>
      </c>
      <c r="N279" s="721">
        <v>82.35</v>
      </c>
    </row>
    <row r="280" spans="1:14" ht="14.45" customHeight="1" x14ac:dyDescent="0.2">
      <c r="A280" s="715" t="s">
        <v>518</v>
      </c>
      <c r="B280" s="716" t="s">
        <v>519</v>
      </c>
      <c r="C280" s="717" t="s">
        <v>531</v>
      </c>
      <c r="D280" s="718" t="s">
        <v>532</v>
      </c>
      <c r="E280" s="719">
        <v>50113001</v>
      </c>
      <c r="F280" s="718" t="s">
        <v>536</v>
      </c>
      <c r="G280" s="717" t="s">
        <v>520</v>
      </c>
      <c r="H280" s="717">
        <v>128217</v>
      </c>
      <c r="I280" s="717">
        <v>28217</v>
      </c>
      <c r="J280" s="717" t="s">
        <v>1009</v>
      </c>
      <c r="K280" s="717" t="s">
        <v>1011</v>
      </c>
      <c r="L280" s="720">
        <v>125.91</v>
      </c>
      <c r="M280" s="720">
        <v>1</v>
      </c>
      <c r="N280" s="721">
        <v>125.91</v>
      </c>
    </row>
    <row r="281" spans="1:14" ht="14.45" customHeight="1" x14ac:dyDescent="0.2">
      <c r="A281" s="715" t="s">
        <v>518</v>
      </c>
      <c r="B281" s="716" t="s">
        <v>519</v>
      </c>
      <c r="C281" s="717" t="s">
        <v>531</v>
      </c>
      <c r="D281" s="718" t="s">
        <v>532</v>
      </c>
      <c r="E281" s="719">
        <v>50113001</v>
      </c>
      <c r="F281" s="718" t="s">
        <v>536</v>
      </c>
      <c r="G281" s="717" t="s">
        <v>537</v>
      </c>
      <c r="H281" s="717">
        <v>185512</v>
      </c>
      <c r="I281" s="717">
        <v>185512</v>
      </c>
      <c r="J281" s="717" t="s">
        <v>1012</v>
      </c>
      <c r="K281" s="717" t="s">
        <v>1013</v>
      </c>
      <c r="L281" s="720">
        <v>73.819999999999993</v>
      </c>
      <c r="M281" s="720">
        <v>1</v>
      </c>
      <c r="N281" s="721">
        <v>73.819999999999993</v>
      </c>
    </row>
    <row r="282" spans="1:14" ht="14.45" customHeight="1" x14ac:dyDescent="0.2">
      <c r="A282" s="715" t="s">
        <v>518</v>
      </c>
      <c r="B282" s="716" t="s">
        <v>519</v>
      </c>
      <c r="C282" s="717" t="s">
        <v>531</v>
      </c>
      <c r="D282" s="718" t="s">
        <v>532</v>
      </c>
      <c r="E282" s="719">
        <v>50113001</v>
      </c>
      <c r="F282" s="718" t="s">
        <v>536</v>
      </c>
      <c r="G282" s="717" t="s">
        <v>537</v>
      </c>
      <c r="H282" s="717">
        <v>196635</v>
      </c>
      <c r="I282" s="717">
        <v>96635</v>
      </c>
      <c r="J282" s="717" t="s">
        <v>1014</v>
      </c>
      <c r="K282" s="717" t="s">
        <v>1015</v>
      </c>
      <c r="L282" s="720">
        <v>112.31333333333333</v>
      </c>
      <c r="M282" s="720">
        <v>3</v>
      </c>
      <c r="N282" s="721">
        <v>336.94</v>
      </c>
    </row>
    <row r="283" spans="1:14" ht="14.45" customHeight="1" x14ac:dyDescent="0.2">
      <c r="A283" s="715" t="s">
        <v>518</v>
      </c>
      <c r="B283" s="716" t="s">
        <v>519</v>
      </c>
      <c r="C283" s="717" t="s">
        <v>531</v>
      </c>
      <c r="D283" s="718" t="s">
        <v>532</v>
      </c>
      <c r="E283" s="719">
        <v>50113001</v>
      </c>
      <c r="F283" s="718" t="s">
        <v>536</v>
      </c>
      <c r="G283" s="717" t="s">
        <v>537</v>
      </c>
      <c r="H283" s="717">
        <v>117992</v>
      </c>
      <c r="I283" s="717">
        <v>17992</v>
      </c>
      <c r="J283" s="717" t="s">
        <v>1016</v>
      </c>
      <c r="K283" s="717" t="s">
        <v>1017</v>
      </c>
      <c r="L283" s="720">
        <v>85.57</v>
      </c>
      <c r="M283" s="720">
        <v>1</v>
      </c>
      <c r="N283" s="721">
        <v>85.57</v>
      </c>
    </row>
    <row r="284" spans="1:14" ht="14.45" customHeight="1" x14ac:dyDescent="0.2">
      <c r="A284" s="715" t="s">
        <v>518</v>
      </c>
      <c r="B284" s="716" t="s">
        <v>519</v>
      </c>
      <c r="C284" s="717" t="s">
        <v>531</v>
      </c>
      <c r="D284" s="718" t="s">
        <v>532</v>
      </c>
      <c r="E284" s="719">
        <v>50113001</v>
      </c>
      <c r="F284" s="718" t="s">
        <v>536</v>
      </c>
      <c r="G284" s="717" t="s">
        <v>537</v>
      </c>
      <c r="H284" s="717">
        <v>237329</v>
      </c>
      <c r="I284" s="717">
        <v>237329</v>
      </c>
      <c r="J284" s="717" t="s">
        <v>1018</v>
      </c>
      <c r="K284" s="717" t="s">
        <v>1019</v>
      </c>
      <c r="L284" s="720">
        <v>108.64218978102191</v>
      </c>
      <c r="M284" s="720">
        <v>137</v>
      </c>
      <c r="N284" s="721">
        <v>14883.980000000001</v>
      </c>
    </row>
    <row r="285" spans="1:14" ht="14.45" customHeight="1" x14ac:dyDescent="0.2">
      <c r="A285" s="715" t="s">
        <v>518</v>
      </c>
      <c r="B285" s="716" t="s">
        <v>519</v>
      </c>
      <c r="C285" s="717" t="s">
        <v>531</v>
      </c>
      <c r="D285" s="718" t="s">
        <v>532</v>
      </c>
      <c r="E285" s="719">
        <v>50113001</v>
      </c>
      <c r="F285" s="718" t="s">
        <v>536</v>
      </c>
      <c r="G285" s="717" t="s">
        <v>537</v>
      </c>
      <c r="H285" s="717">
        <v>100498</v>
      </c>
      <c r="I285" s="717">
        <v>498</v>
      </c>
      <c r="J285" s="717" t="s">
        <v>1018</v>
      </c>
      <c r="K285" s="717" t="s">
        <v>1019</v>
      </c>
      <c r="L285" s="720">
        <v>108.70903073286053</v>
      </c>
      <c r="M285" s="720">
        <v>423</v>
      </c>
      <c r="N285" s="721">
        <v>45983.920000000006</v>
      </c>
    </row>
    <row r="286" spans="1:14" ht="14.45" customHeight="1" x14ac:dyDescent="0.2">
      <c r="A286" s="715" t="s">
        <v>518</v>
      </c>
      <c r="B286" s="716" t="s">
        <v>519</v>
      </c>
      <c r="C286" s="717" t="s">
        <v>531</v>
      </c>
      <c r="D286" s="718" t="s">
        <v>532</v>
      </c>
      <c r="E286" s="719">
        <v>50113001</v>
      </c>
      <c r="F286" s="718" t="s">
        <v>536</v>
      </c>
      <c r="G286" s="717" t="s">
        <v>537</v>
      </c>
      <c r="H286" s="717">
        <v>100499</v>
      </c>
      <c r="I286" s="717">
        <v>499</v>
      </c>
      <c r="J286" s="717" t="s">
        <v>1020</v>
      </c>
      <c r="K286" s="717" t="s">
        <v>1021</v>
      </c>
      <c r="L286" s="720">
        <v>113.14400000000001</v>
      </c>
      <c r="M286" s="720">
        <v>20</v>
      </c>
      <c r="N286" s="721">
        <v>2262.88</v>
      </c>
    </row>
    <row r="287" spans="1:14" ht="14.45" customHeight="1" x14ac:dyDescent="0.2">
      <c r="A287" s="715" t="s">
        <v>518</v>
      </c>
      <c r="B287" s="716" t="s">
        <v>519</v>
      </c>
      <c r="C287" s="717" t="s">
        <v>531</v>
      </c>
      <c r="D287" s="718" t="s">
        <v>532</v>
      </c>
      <c r="E287" s="719">
        <v>50113001</v>
      </c>
      <c r="F287" s="718" t="s">
        <v>536</v>
      </c>
      <c r="G287" s="717" t="s">
        <v>537</v>
      </c>
      <c r="H287" s="717">
        <v>237330</v>
      </c>
      <c r="I287" s="717">
        <v>237330</v>
      </c>
      <c r="J287" s="717" t="s">
        <v>1020</v>
      </c>
      <c r="K287" s="717" t="s">
        <v>1021</v>
      </c>
      <c r="L287" s="720">
        <v>113.06399999999999</v>
      </c>
      <c r="M287" s="720">
        <v>15</v>
      </c>
      <c r="N287" s="721">
        <v>1695.9599999999998</v>
      </c>
    </row>
    <row r="288" spans="1:14" ht="14.45" customHeight="1" x14ac:dyDescent="0.2">
      <c r="A288" s="715" t="s">
        <v>518</v>
      </c>
      <c r="B288" s="716" t="s">
        <v>519</v>
      </c>
      <c r="C288" s="717" t="s">
        <v>531</v>
      </c>
      <c r="D288" s="718" t="s">
        <v>532</v>
      </c>
      <c r="E288" s="719">
        <v>50113001</v>
      </c>
      <c r="F288" s="718" t="s">
        <v>536</v>
      </c>
      <c r="G288" s="717" t="s">
        <v>537</v>
      </c>
      <c r="H288" s="717">
        <v>234736</v>
      </c>
      <c r="I288" s="717">
        <v>234736</v>
      </c>
      <c r="J288" s="717" t="s">
        <v>1022</v>
      </c>
      <c r="K288" s="717" t="s">
        <v>1023</v>
      </c>
      <c r="L288" s="720">
        <v>120.55</v>
      </c>
      <c r="M288" s="720">
        <v>3</v>
      </c>
      <c r="N288" s="721">
        <v>361.65</v>
      </c>
    </row>
    <row r="289" spans="1:14" ht="14.45" customHeight="1" x14ac:dyDescent="0.2">
      <c r="A289" s="715" t="s">
        <v>518</v>
      </c>
      <c r="B289" s="716" t="s">
        <v>519</v>
      </c>
      <c r="C289" s="717" t="s">
        <v>531</v>
      </c>
      <c r="D289" s="718" t="s">
        <v>532</v>
      </c>
      <c r="E289" s="719">
        <v>50113001</v>
      </c>
      <c r="F289" s="718" t="s">
        <v>536</v>
      </c>
      <c r="G289" s="717" t="s">
        <v>537</v>
      </c>
      <c r="H289" s="717">
        <v>215978</v>
      </c>
      <c r="I289" s="717">
        <v>215978</v>
      </c>
      <c r="J289" s="717" t="s">
        <v>1022</v>
      </c>
      <c r="K289" s="717" t="s">
        <v>1023</v>
      </c>
      <c r="L289" s="720">
        <v>120.68000000000005</v>
      </c>
      <c r="M289" s="720">
        <v>1</v>
      </c>
      <c r="N289" s="721">
        <v>120.68000000000005</v>
      </c>
    </row>
    <row r="290" spans="1:14" ht="14.45" customHeight="1" x14ac:dyDescent="0.2">
      <c r="A290" s="715" t="s">
        <v>518</v>
      </c>
      <c r="B290" s="716" t="s">
        <v>519</v>
      </c>
      <c r="C290" s="717" t="s">
        <v>531</v>
      </c>
      <c r="D290" s="718" t="s">
        <v>532</v>
      </c>
      <c r="E290" s="719">
        <v>50113001</v>
      </c>
      <c r="F290" s="718" t="s">
        <v>536</v>
      </c>
      <c r="G290" s="717" t="s">
        <v>537</v>
      </c>
      <c r="H290" s="717">
        <v>102439</v>
      </c>
      <c r="I290" s="717">
        <v>2439</v>
      </c>
      <c r="J290" s="717" t="s">
        <v>1024</v>
      </c>
      <c r="K290" s="717" t="s">
        <v>1025</v>
      </c>
      <c r="L290" s="720">
        <v>285.08</v>
      </c>
      <c r="M290" s="720">
        <v>47</v>
      </c>
      <c r="N290" s="721">
        <v>13398.759999999998</v>
      </c>
    </row>
    <row r="291" spans="1:14" ht="14.45" customHeight="1" x14ac:dyDescent="0.2">
      <c r="A291" s="715" t="s">
        <v>518</v>
      </c>
      <c r="B291" s="716" t="s">
        <v>519</v>
      </c>
      <c r="C291" s="717" t="s">
        <v>531</v>
      </c>
      <c r="D291" s="718" t="s">
        <v>532</v>
      </c>
      <c r="E291" s="719">
        <v>50113001</v>
      </c>
      <c r="F291" s="718" t="s">
        <v>536</v>
      </c>
      <c r="G291" s="717" t="s">
        <v>537</v>
      </c>
      <c r="H291" s="717">
        <v>225168</v>
      </c>
      <c r="I291" s="717">
        <v>225168</v>
      </c>
      <c r="J291" s="717" t="s">
        <v>1026</v>
      </c>
      <c r="K291" s="717" t="s">
        <v>1027</v>
      </c>
      <c r="L291" s="720">
        <v>64.749999999999986</v>
      </c>
      <c r="M291" s="720">
        <v>1</v>
      </c>
      <c r="N291" s="721">
        <v>64.749999999999986</v>
      </c>
    </row>
    <row r="292" spans="1:14" ht="14.45" customHeight="1" x14ac:dyDescent="0.2">
      <c r="A292" s="715" t="s">
        <v>518</v>
      </c>
      <c r="B292" s="716" t="s">
        <v>519</v>
      </c>
      <c r="C292" s="717" t="s">
        <v>531</v>
      </c>
      <c r="D292" s="718" t="s">
        <v>532</v>
      </c>
      <c r="E292" s="719">
        <v>50113001</v>
      </c>
      <c r="F292" s="718" t="s">
        <v>536</v>
      </c>
      <c r="G292" s="717" t="s">
        <v>537</v>
      </c>
      <c r="H292" s="717">
        <v>502029</v>
      </c>
      <c r="I292" s="717">
        <v>999999</v>
      </c>
      <c r="J292" s="717" t="s">
        <v>1028</v>
      </c>
      <c r="K292" s="717" t="s">
        <v>1029</v>
      </c>
      <c r="L292" s="720">
        <v>340.62892857142862</v>
      </c>
      <c r="M292" s="720">
        <v>28</v>
      </c>
      <c r="N292" s="721">
        <v>9537.61</v>
      </c>
    </row>
    <row r="293" spans="1:14" ht="14.45" customHeight="1" x14ac:dyDescent="0.2">
      <c r="A293" s="715" t="s">
        <v>518</v>
      </c>
      <c r="B293" s="716" t="s">
        <v>519</v>
      </c>
      <c r="C293" s="717" t="s">
        <v>531</v>
      </c>
      <c r="D293" s="718" t="s">
        <v>532</v>
      </c>
      <c r="E293" s="719">
        <v>50113001</v>
      </c>
      <c r="F293" s="718" t="s">
        <v>536</v>
      </c>
      <c r="G293" s="717" t="s">
        <v>537</v>
      </c>
      <c r="H293" s="717">
        <v>100502</v>
      </c>
      <c r="I293" s="717">
        <v>502</v>
      </c>
      <c r="J293" s="717" t="s">
        <v>1030</v>
      </c>
      <c r="K293" s="717" t="s">
        <v>1031</v>
      </c>
      <c r="L293" s="720">
        <v>259.31578947368422</v>
      </c>
      <c r="M293" s="720">
        <v>19</v>
      </c>
      <c r="N293" s="721">
        <v>4927</v>
      </c>
    </row>
    <row r="294" spans="1:14" ht="14.45" customHeight="1" x14ac:dyDescent="0.2">
      <c r="A294" s="715" t="s">
        <v>518</v>
      </c>
      <c r="B294" s="716" t="s">
        <v>519</v>
      </c>
      <c r="C294" s="717" t="s">
        <v>531</v>
      </c>
      <c r="D294" s="718" t="s">
        <v>532</v>
      </c>
      <c r="E294" s="719">
        <v>50113001</v>
      </c>
      <c r="F294" s="718" t="s">
        <v>536</v>
      </c>
      <c r="G294" s="717" t="s">
        <v>537</v>
      </c>
      <c r="H294" s="717">
        <v>102684</v>
      </c>
      <c r="I294" s="717">
        <v>2684</v>
      </c>
      <c r="J294" s="717" t="s">
        <v>1030</v>
      </c>
      <c r="K294" s="717" t="s">
        <v>1032</v>
      </c>
      <c r="L294" s="720">
        <v>108.27733333333336</v>
      </c>
      <c r="M294" s="720">
        <v>60</v>
      </c>
      <c r="N294" s="721">
        <v>6496.6400000000012</v>
      </c>
    </row>
    <row r="295" spans="1:14" ht="14.45" customHeight="1" x14ac:dyDescent="0.2">
      <c r="A295" s="715" t="s">
        <v>518</v>
      </c>
      <c r="B295" s="716" t="s">
        <v>519</v>
      </c>
      <c r="C295" s="717" t="s">
        <v>531</v>
      </c>
      <c r="D295" s="718" t="s">
        <v>532</v>
      </c>
      <c r="E295" s="719">
        <v>50113001</v>
      </c>
      <c r="F295" s="718" t="s">
        <v>536</v>
      </c>
      <c r="G295" s="717" t="s">
        <v>520</v>
      </c>
      <c r="H295" s="717">
        <v>216736</v>
      </c>
      <c r="I295" s="717">
        <v>216736</v>
      </c>
      <c r="J295" s="717" t="s">
        <v>1033</v>
      </c>
      <c r="K295" s="717" t="s">
        <v>1034</v>
      </c>
      <c r="L295" s="720">
        <v>193.33</v>
      </c>
      <c r="M295" s="720">
        <v>1</v>
      </c>
      <c r="N295" s="721">
        <v>193.33</v>
      </c>
    </row>
    <row r="296" spans="1:14" ht="14.45" customHeight="1" x14ac:dyDescent="0.2">
      <c r="A296" s="715" t="s">
        <v>518</v>
      </c>
      <c r="B296" s="716" t="s">
        <v>519</v>
      </c>
      <c r="C296" s="717" t="s">
        <v>531</v>
      </c>
      <c r="D296" s="718" t="s">
        <v>532</v>
      </c>
      <c r="E296" s="719">
        <v>50113001</v>
      </c>
      <c r="F296" s="718" t="s">
        <v>536</v>
      </c>
      <c r="G296" s="717" t="s">
        <v>520</v>
      </c>
      <c r="H296" s="717">
        <v>205931</v>
      </c>
      <c r="I296" s="717">
        <v>205931</v>
      </c>
      <c r="J296" s="717" t="s">
        <v>1035</v>
      </c>
      <c r="K296" s="717" t="s">
        <v>1036</v>
      </c>
      <c r="L296" s="720">
        <v>72.949999999999989</v>
      </c>
      <c r="M296" s="720">
        <v>1</v>
      </c>
      <c r="N296" s="721">
        <v>72.949999999999989</v>
      </c>
    </row>
    <row r="297" spans="1:14" ht="14.45" customHeight="1" x14ac:dyDescent="0.2">
      <c r="A297" s="715" t="s">
        <v>518</v>
      </c>
      <c r="B297" s="716" t="s">
        <v>519</v>
      </c>
      <c r="C297" s="717" t="s">
        <v>531</v>
      </c>
      <c r="D297" s="718" t="s">
        <v>532</v>
      </c>
      <c r="E297" s="719">
        <v>50113001</v>
      </c>
      <c r="F297" s="718" t="s">
        <v>536</v>
      </c>
      <c r="G297" s="717" t="s">
        <v>520</v>
      </c>
      <c r="H297" s="717">
        <v>126554</v>
      </c>
      <c r="I297" s="717">
        <v>26554</v>
      </c>
      <c r="J297" s="717" t="s">
        <v>1037</v>
      </c>
      <c r="K297" s="717" t="s">
        <v>1038</v>
      </c>
      <c r="L297" s="720">
        <v>186.7</v>
      </c>
      <c r="M297" s="720">
        <v>1</v>
      </c>
      <c r="N297" s="721">
        <v>186.7</v>
      </c>
    </row>
    <row r="298" spans="1:14" ht="14.45" customHeight="1" x14ac:dyDescent="0.2">
      <c r="A298" s="715" t="s">
        <v>518</v>
      </c>
      <c r="B298" s="716" t="s">
        <v>519</v>
      </c>
      <c r="C298" s="717" t="s">
        <v>531</v>
      </c>
      <c r="D298" s="718" t="s">
        <v>532</v>
      </c>
      <c r="E298" s="719">
        <v>50113001</v>
      </c>
      <c r="F298" s="718" t="s">
        <v>536</v>
      </c>
      <c r="G298" s="717" t="s">
        <v>552</v>
      </c>
      <c r="H298" s="717">
        <v>127736</v>
      </c>
      <c r="I298" s="717">
        <v>127736</v>
      </c>
      <c r="J298" s="717" t="s">
        <v>1039</v>
      </c>
      <c r="K298" s="717" t="s">
        <v>1040</v>
      </c>
      <c r="L298" s="720">
        <v>49.36999999999999</v>
      </c>
      <c r="M298" s="720">
        <v>1</v>
      </c>
      <c r="N298" s="721">
        <v>49.36999999999999</v>
      </c>
    </row>
    <row r="299" spans="1:14" ht="14.45" customHeight="1" x14ac:dyDescent="0.2">
      <c r="A299" s="715" t="s">
        <v>518</v>
      </c>
      <c r="B299" s="716" t="s">
        <v>519</v>
      </c>
      <c r="C299" s="717" t="s">
        <v>531</v>
      </c>
      <c r="D299" s="718" t="s">
        <v>532</v>
      </c>
      <c r="E299" s="719">
        <v>50113001</v>
      </c>
      <c r="F299" s="718" t="s">
        <v>536</v>
      </c>
      <c r="G299" s="717" t="s">
        <v>552</v>
      </c>
      <c r="H299" s="717">
        <v>184095</v>
      </c>
      <c r="I299" s="717">
        <v>184095</v>
      </c>
      <c r="J299" s="717" t="s">
        <v>1041</v>
      </c>
      <c r="K299" s="717" t="s">
        <v>1042</v>
      </c>
      <c r="L299" s="720">
        <v>280.80243902439025</v>
      </c>
      <c r="M299" s="720">
        <v>41</v>
      </c>
      <c r="N299" s="721">
        <v>11512.900000000001</v>
      </c>
    </row>
    <row r="300" spans="1:14" ht="14.45" customHeight="1" x14ac:dyDescent="0.2">
      <c r="A300" s="715" t="s">
        <v>518</v>
      </c>
      <c r="B300" s="716" t="s">
        <v>519</v>
      </c>
      <c r="C300" s="717" t="s">
        <v>531</v>
      </c>
      <c r="D300" s="718" t="s">
        <v>532</v>
      </c>
      <c r="E300" s="719">
        <v>50113001</v>
      </c>
      <c r="F300" s="718" t="s">
        <v>536</v>
      </c>
      <c r="G300" s="717" t="s">
        <v>552</v>
      </c>
      <c r="H300" s="717">
        <v>127737</v>
      </c>
      <c r="I300" s="717">
        <v>127737</v>
      </c>
      <c r="J300" s="717" t="s">
        <v>1041</v>
      </c>
      <c r="K300" s="717" t="s">
        <v>1043</v>
      </c>
      <c r="L300" s="720">
        <v>67.389999999999986</v>
      </c>
      <c r="M300" s="720">
        <v>1</v>
      </c>
      <c r="N300" s="721">
        <v>67.389999999999986</v>
      </c>
    </row>
    <row r="301" spans="1:14" ht="14.45" customHeight="1" x14ac:dyDescent="0.2">
      <c r="A301" s="715" t="s">
        <v>518</v>
      </c>
      <c r="B301" s="716" t="s">
        <v>519</v>
      </c>
      <c r="C301" s="717" t="s">
        <v>531</v>
      </c>
      <c r="D301" s="718" t="s">
        <v>532</v>
      </c>
      <c r="E301" s="719">
        <v>50113001</v>
      </c>
      <c r="F301" s="718" t="s">
        <v>536</v>
      </c>
      <c r="G301" s="717" t="s">
        <v>552</v>
      </c>
      <c r="H301" s="717">
        <v>127738</v>
      </c>
      <c r="I301" s="717">
        <v>127738</v>
      </c>
      <c r="J301" s="717" t="s">
        <v>1041</v>
      </c>
      <c r="K301" s="717" t="s">
        <v>1044</v>
      </c>
      <c r="L301" s="720">
        <v>95.433333333333337</v>
      </c>
      <c r="M301" s="720">
        <v>3</v>
      </c>
      <c r="N301" s="721">
        <v>286.3</v>
      </c>
    </row>
    <row r="302" spans="1:14" ht="14.45" customHeight="1" x14ac:dyDescent="0.2">
      <c r="A302" s="715" t="s">
        <v>518</v>
      </c>
      <c r="B302" s="716" t="s">
        <v>519</v>
      </c>
      <c r="C302" s="717" t="s">
        <v>531</v>
      </c>
      <c r="D302" s="718" t="s">
        <v>532</v>
      </c>
      <c r="E302" s="719">
        <v>50113001</v>
      </c>
      <c r="F302" s="718" t="s">
        <v>536</v>
      </c>
      <c r="G302" s="717" t="s">
        <v>537</v>
      </c>
      <c r="H302" s="717">
        <v>198757</v>
      </c>
      <c r="I302" s="717">
        <v>198757</v>
      </c>
      <c r="J302" s="717" t="s">
        <v>1045</v>
      </c>
      <c r="K302" s="717" t="s">
        <v>1046</v>
      </c>
      <c r="L302" s="720">
        <v>495.83742857142869</v>
      </c>
      <c r="M302" s="720">
        <v>21</v>
      </c>
      <c r="N302" s="721">
        <v>10412.586000000003</v>
      </c>
    </row>
    <row r="303" spans="1:14" ht="14.45" customHeight="1" x14ac:dyDescent="0.2">
      <c r="A303" s="715" t="s">
        <v>518</v>
      </c>
      <c r="B303" s="716" t="s">
        <v>519</v>
      </c>
      <c r="C303" s="717" t="s">
        <v>531</v>
      </c>
      <c r="D303" s="718" t="s">
        <v>532</v>
      </c>
      <c r="E303" s="719">
        <v>50113001</v>
      </c>
      <c r="F303" s="718" t="s">
        <v>536</v>
      </c>
      <c r="G303" s="717" t="s">
        <v>520</v>
      </c>
      <c r="H303" s="717">
        <v>242707</v>
      </c>
      <c r="I303" s="717">
        <v>242707</v>
      </c>
      <c r="J303" s="717" t="s">
        <v>1047</v>
      </c>
      <c r="K303" s="717" t="s">
        <v>1048</v>
      </c>
      <c r="L303" s="720">
        <v>1006.5699999999999</v>
      </c>
      <c r="M303" s="720">
        <v>32</v>
      </c>
      <c r="N303" s="721">
        <v>32210.239999999998</v>
      </c>
    </row>
    <row r="304" spans="1:14" ht="14.45" customHeight="1" x14ac:dyDescent="0.2">
      <c r="A304" s="715" t="s">
        <v>518</v>
      </c>
      <c r="B304" s="716" t="s">
        <v>519</v>
      </c>
      <c r="C304" s="717" t="s">
        <v>531</v>
      </c>
      <c r="D304" s="718" t="s">
        <v>532</v>
      </c>
      <c r="E304" s="719">
        <v>50113001</v>
      </c>
      <c r="F304" s="718" t="s">
        <v>536</v>
      </c>
      <c r="G304" s="717" t="s">
        <v>552</v>
      </c>
      <c r="H304" s="717">
        <v>146071</v>
      </c>
      <c r="I304" s="717">
        <v>146071</v>
      </c>
      <c r="J304" s="717" t="s">
        <v>1049</v>
      </c>
      <c r="K304" s="717" t="s">
        <v>1050</v>
      </c>
      <c r="L304" s="720">
        <v>138.51</v>
      </c>
      <c r="M304" s="720">
        <v>1</v>
      </c>
      <c r="N304" s="721">
        <v>138.51</v>
      </c>
    </row>
    <row r="305" spans="1:14" ht="14.45" customHeight="1" x14ac:dyDescent="0.2">
      <c r="A305" s="715" t="s">
        <v>518</v>
      </c>
      <c r="B305" s="716" t="s">
        <v>519</v>
      </c>
      <c r="C305" s="717" t="s">
        <v>531</v>
      </c>
      <c r="D305" s="718" t="s">
        <v>532</v>
      </c>
      <c r="E305" s="719">
        <v>50113001</v>
      </c>
      <c r="F305" s="718" t="s">
        <v>536</v>
      </c>
      <c r="G305" s="717" t="s">
        <v>537</v>
      </c>
      <c r="H305" s="717">
        <v>194804</v>
      </c>
      <c r="I305" s="717">
        <v>94804</v>
      </c>
      <c r="J305" s="717" t="s">
        <v>1051</v>
      </c>
      <c r="K305" s="717" t="s">
        <v>1052</v>
      </c>
      <c r="L305" s="720">
        <v>58.53</v>
      </c>
      <c r="M305" s="720">
        <v>1</v>
      </c>
      <c r="N305" s="721">
        <v>58.53</v>
      </c>
    </row>
    <row r="306" spans="1:14" ht="14.45" customHeight="1" x14ac:dyDescent="0.2">
      <c r="A306" s="715" t="s">
        <v>518</v>
      </c>
      <c r="B306" s="716" t="s">
        <v>519</v>
      </c>
      <c r="C306" s="717" t="s">
        <v>531</v>
      </c>
      <c r="D306" s="718" t="s">
        <v>532</v>
      </c>
      <c r="E306" s="719">
        <v>50113001</v>
      </c>
      <c r="F306" s="718" t="s">
        <v>536</v>
      </c>
      <c r="G306" s="717" t="s">
        <v>552</v>
      </c>
      <c r="H306" s="717">
        <v>184530</v>
      </c>
      <c r="I306" s="717">
        <v>200207</v>
      </c>
      <c r="J306" s="717" t="s">
        <v>1053</v>
      </c>
      <c r="K306" s="717" t="s">
        <v>1054</v>
      </c>
      <c r="L306" s="720">
        <v>84.140000000000043</v>
      </c>
      <c r="M306" s="720">
        <v>1</v>
      </c>
      <c r="N306" s="721">
        <v>84.140000000000043</v>
      </c>
    </row>
    <row r="307" spans="1:14" ht="14.45" customHeight="1" x14ac:dyDescent="0.2">
      <c r="A307" s="715" t="s">
        <v>518</v>
      </c>
      <c r="B307" s="716" t="s">
        <v>519</v>
      </c>
      <c r="C307" s="717" t="s">
        <v>531</v>
      </c>
      <c r="D307" s="718" t="s">
        <v>532</v>
      </c>
      <c r="E307" s="719">
        <v>50113001</v>
      </c>
      <c r="F307" s="718" t="s">
        <v>536</v>
      </c>
      <c r="G307" s="717" t="s">
        <v>537</v>
      </c>
      <c r="H307" s="717">
        <v>101125</v>
      </c>
      <c r="I307" s="717">
        <v>1125</v>
      </c>
      <c r="J307" s="717" t="s">
        <v>1055</v>
      </c>
      <c r="K307" s="717" t="s">
        <v>1056</v>
      </c>
      <c r="L307" s="720">
        <v>77.28</v>
      </c>
      <c r="M307" s="720">
        <v>5</v>
      </c>
      <c r="N307" s="721">
        <v>386.4</v>
      </c>
    </row>
    <row r="308" spans="1:14" ht="14.45" customHeight="1" x14ac:dyDescent="0.2">
      <c r="A308" s="715" t="s">
        <v>518</v>
      </c>
      <c r="B308" s="716" t="s">
        <v>519</v>
      </c>
      <c r="C308" s="717" t="s">
        <v>531</v>
      </c>
      <c r="D308" s="718" t="s">
        <v>532</v>
      </c>
      <c r="E308" s="719">
        <v>50113001</v>
      </c>
      <c r="F308" s="718" t="s">
        <v>536</v>
      </c>
      <c r="G308" s="717" t="s">
        <v>537</v>
      </c>
      <c r="H308" s="717">
        <v>101127</v>
      </c>
      <c r="I308" s="717">
        <v>1127</v>
      </c>
      <c r="J308" s="717" t="s">
        <v>1055</v>
      </c>
      <c r="K308" s="717" t="s">
        <v>1057</v>
      </c>
      <c r="L308" s="720">
        <v>103.47471698113212</v>
      </c>
      <c r="M308" s="720">
        <v>265</v>
      </c>
      <c r="N308" s="721">
        <v>27420.80000000001</v>
      </c>
    </row>
    <row r="309" spans="1:14" ht="14.45" customHeight="1" x14ac:dyDescent="0.2">
      <c r="A309" s="715" t="s">
        <v>518</v>
      </c>
      <c r="B309" s="716" t="s">
        <v>519</v>
      </c>
      <c r="C309" s="717" t="s">
        <v>531</v>
      </c>
      <c r="D309" s="718" t="s">
        <v>532</v>
      </c>
      <c r="E309" s="719">
        <v>50113001</v>
      </c>
      <c r="F309" s="718" t="s">
        <v>536</v>
      </c>
      <c r="G309" s="717" t="s">
        <v>552</v>
      </c>
      <c r="H309" s="717">
        <v>116932</v>
      </c>
      <c r="I309" s="717">
        <v>16932</v>
      </c>
      <c r="J309" s="717" t="s">
        <v>1058</v>
      </c>
      <c r="K309" s="717" t="s">
        <v>1059</v>
      </c>
      <c r="L309" s="720">
        <v>103.98333333333333</v>
      </c>
      <c r="M309" s="720">
        <v>3</v>
      </c>
      <c r="N309" s="721">
        <v>311.95</v>
      </c>
    </row>
    <row r="310" spans="1:14" ht="14.45" customHeight="1" x14ac:dyDescent="0.2">
      <c r="A310" s="715" t="s">
        <v>518</v>
      </c>
      <c r="B310" s="716" t="s">
        <v>519</v>
      </c>
      <c r="C310" s="717" t="s">
        <v>531</v>
      </c>
      <c r="D310" s="718" t="s">
        <v>532</v>
      </c>
      <c r="E310" s="719">
        <v>50113001</v>
      </c>
      <c r="F310" s="718" t="s">
        <v>536</v>
      </c>
      <c r="G310" s="717" t="s">
        <v>537</v>
      </c>
      <c r="H310" s="717">
        <v>223159</v>
      </c>
      <c r="I310" s="717">
        <v>223159</v>
      </c>
      <c r="J310" s="717" t="s">
        <v>1060</v>
      </c>
      <c r="K310" s="717" t="s">
        <v>1061</v>
      </c>
      <c r="L310" s="720">
        <v>74.353414634146333</v>
      </c>
      <c r="M310" s="720">
        <v>164</v>
      </c>
      <c r="N310" s="721">
        <v>12193.96</v>
      </c>
    </row>
    <row r="311" spans="1:14" ht="14.45" customHeight="1" x14ac:dyDescent="0.2">
      <c r="A311" s="715" t="s">
        <v>518</v>
      </c>
      <c r="B311" s="716" t="s">
        <v>519</v>
      </c>
      <c r="C311" s="717" t="s">
        <v>531</v>
      </c>
      <c r="D311" s="718" t="s">
        <v>532</v>
      </c>
      <c r="E311" s="719">
        <v>50113001</v>
      </c>
      <c r="F311" s="718" t="s">
        <v>536</v>
      </c>
      <c r="G311" s="717" t="s">
        <v>537</v>
      </c>
      <c r="H311" s="717">
        <v>194763</v>
      </c>
      <c r="I311" s="717">
        <v>94763</v>
      </c>
      <c r="J311" s="717" t="s">
        <v>1062</v>
      </c>
      <c r="K311" s="717" t="s">
        <v>1063</v>
      </c>
      <c r="L311" s="720">
        <v>84.55</v>
      </c>
      <c r="M311" s="720">
        <v>2</v>
      </c>
      <c r="N311" s="721">
        <v>169.1</v>
      </c>
    </row>
    <row r="312" spans="1:14" ht="14.45" customHeight="1" x14ac:dyDescent="0.2">
      <c r="A312" s="715" t="s">
        <v>518</v>
      </c>
      <c r="B312" s="716" t="s">
        <v>519</v>
      </c>
      <c r="C312" s="717" t="s">
        <v>531</v>
      </c>
      <c r="D312" s="718" t="s">
        <v>532</v>
      </c>
      <c r="E312" s="719">
        <v>50113001</v>
      </c>
      <c r="F312" s="718" t="s">
        <v>536</v>
      </c>
      <c r="G312" s="717" t="s">
        <v>537</v>
      </c>
      <c r="H312" s="717">
        <v>216735</v>
      </c>
      <c r="I312" s="717">
        <v>216735</v>
      </c>
      <c r="J312" s="717" t="s">
        <v>1064</v>
      </c>
      <c r="K312" s="717" t="s">
        <v>1065</v>
      </c>
      <c r="L312" s="720">
        <v>373.69999999999987</v>
      </c>
      <c r="M312" s="720">
        <v>2</v>
      </c>
      <c r="N312" s="721">
        <v>747.39999999999975</v>
      </c>
    </row>
    <row r="313" spans="1:14" ht="14.45" customHeight="1" x14ac:dyDescent="0.2">
      <c r="A313" s="715" t="s">
        <v>518</v>
      </c>
      <c r="B313" s="716" t="s">
        <v>519</v>
      </c>
      <c r="C313" s="717" t="s">
        <v>531</v>
      </c>
      <c r="D313" s="718" t="s">
        <v>532</v>
      </c>
      <c r="E313" s="719">
        <v>50113001</v>
      </c>
      <c r="F313" s="718" t="s">
        <v>536</v>
      </c>
      <c r="G313" s="717" t="s">
        <v>537</v>
      </c>
      <c r="H313" s="717">
        <v>100513</v>
      </c>
      <c r="I313" s="717">
        <v>513</v>
      </c>
      <c r="J313" s="717" t="s">
        <v>1066</v>
      </c>
      <c r="K313" s="717" t="s">
        <v>1019</v>
      </c>
      <c r="L313" s="720">
        <v>56.748823529411773</v>
      </c>
      <c r="M313" s="720">
        <v>85</v>
      </c>
      <c r="N313" s="721">
        <v>4823.6500000000005</v>
      </c>
    </row>
    <row r="314" spans="1:14" ht="14.45" customHeight="1" x14ac:dyDescent="0.2">
      <c r="A314" s="715" t="s">
        <v>518</v>
      </c>
      <c r="B314" s="716" t="s">
        <v>519</v>
      </c>
      <c r="C314" s="717" t="s">
        <v>531</v>
      </c>
      <c r="D314" s="718" t="s">
        <v>532</v>
      </c>
      <c r="E314" s="719">
        <v>50113001</v>
      </c>
      <c r="F314" s="718" t="s">
        <v>536</v>
      </c>
      <c r="G314" s="717" t="s">
        <v>520</v>
      </c>
      <c r="H314" s="717">
        <v>53761</v>
      </c>
      <c r="I314" s="717">
        <v>53761</v>
      </c>
      <c r="J314" s="717" t="s">
        <v>1067</v>
      </c>
      <c r="K314" s="717" t="s">
        <v>1068</v>
      </c>
      <c r="L314" s="720">
        <v>93.52000000000001</v>
      </c>
      <c r="M314" s="720">
        <v>1</v>
      </c>
      <c r="N314" s="721">
        <v>93.52000000000001</v>
      </c>
    </row>
    <row r="315" spans="1:14" ht="14.45" customHeight="1" x14ac:dyDescent="0.2">
      <c r="A315" s="715" t="s">
        <v>518</v>
      </c>
      <c r="B315" s="716" t="s">
        <v>519</v>
      </c>
      <c r="C315" s="717" t="s">
        <v>531</v>
      </c>
      <c r="D315" s="718" t="s">
        <v>532</v>
      </c>
      <c r="E315" s="719">
        <v>50113001</v>
      </c>
      <c r="F315" s="718" t="s">
        <v>536</v>
      </c>
      <c r="G315" s="717" t="s">
        <v>537</v>
      </c>
      <c r="H315" s="717">
        <v>230353</v>
      </c>
      <c r="I315" s="717">
        <v>230353</v>
      </c>
      <c r="J315" s="717" t="s">
        <v>1069</v>
      </c>
      <c r="K315" s="717" t="s">
        <v>1070</v>
      </c>
      <c r="L315" s="720">
        <v>1613.8378029556652</v>
      </c>
      <c r="M315" s="720">
        <v>203.00000000000003</v>
      </c>
      <c r="N315" s="721">
        <v>327609.07400000008</v>
      </c>
    </row>
    <row r="316" spans="1:14" ht="14.45" customHeight="1" x14ac:dyDescent="0.2">
      <c r="A316" s="715" t="s">
        <v>518</v>
      </c>
      <c r="B316" s="716" t="s">
        <v>519</v>
      </c>
      <c r="C316" s="717" t="s">
        <v>531</v>
      </c>
      <c r="D316" s="718" t="s">
        <v>532</v>
      </c>
      <c r="E316" s="719">
        <v>50113001</v>
      </c>
      <c r="F316" s="718" t="s">
        <v>536</v>
      </c>
      <c r="G316" s="717" t="s">
        <v>537</v>
      </c>
      <c r="H316" s="717">
        <v>110086</v>
      </c>
      <c r="I316" s="717">
        <v>10086</v>
      </c>
      <c r="J316" s="717" t="s">
        <v>1069</v>
      </c>
      <c r="K316" s="717" t="s">
        <v>1071</v>
      </c>
      <c r="L316" s="720">
        <v>1592.7999999999995</v>
      </c>
      <c r="M316" s="720">
        <v>28</v>
      </c>
      <c r="N316" s="721">
        <v>44598.399999999987</v>
      </c>
    </row>
    <row r="317" spans="1:14" ht="14.45" customHeight="1" x14ac:dyDescent="0.2">
      <c r="A317" s="715" t="s">
        <v>518</v>
      </c>
      <c r="B317" s="716" t="s">
        <v>519</v>
      </c>
      <c r="C317" s="717" t="s">
        <v>531</v>
      </c>
      <c r="D317" s="718" t="s">
        <v>532</v>
      </c>
      <c r="E317" s="719">
        <v>50113001</v>
      </c>
      <c r="F317" s="718" t="s">
        <v>536</v>
      </c>
      <c r="G317" s="717" t="s">
        <v>552</v>
      </c>
      <c r="H317" s="717">
        <v>191788</v>
      </c>
      <c r="I317" s="717">
        <v>91788</v>
      </c>
      <c r="J317" s="717" t="s">
        <v>1072</v>
      </c>
      <c r="K317" s="717" t="s">
        <v>1073</v>
      </c>
      <c r="L317" s="720">
        <v>9.104000000000001</v>
      </c>
      <c r="M317" s="720">
        <v>5</v>
      </c>
      <c r="N317" s="721">
        <v>45.52</v>
      </c>
    </row>
    <row r="318" spans="1:14" ht="14.45" customHeight="1" x14ac:dyDescent="0.2">
      <c r="A318" s="715" t="s">
        <v>518</v>
      </c>
      <c r="B318" s="716" t="s">
        <v>519</v>
      </c>
      <c r="C318" s="717" t="s">
        <v>531</v>
      </c>
      <c r="D318" s="718" t="s">
        <v>532</v>
      </c>
      <c r="E318" s="719">
        <v>50113001</v>
      </c>
      <c r="F318" s="718" t="s">
        <v>536</v>
      </c>
      <c r="G318" s="717" t="s">
        <v>552</v>
      </c>
      <c r="H318" s="717">
        <v>106618</v>
      </c>
      <c r="I318" s="717">
        <v>6618</v>
      </c>
      <c r="J318" s="717" t="s">
        <v>1074</v>
      </c>
      <c r="K318" s="717" t="s">
        <v>1075</v>
      </c>
      <c r="L318" s="720">
        <v>19.580000000000002</v>
      </c>
      <c r="M318" s="720">
        <v>7</v>
      </c>
      <c r="N318" s="721">
        <v>137.06</v>
      </c>
    </row>
    <row r="319" spans="1:14" ht="14.45" customHeight="1" x14ac:dyDescent="0.2">
      <c r="A319" s="715" t="s">
        <v>518</v>
      </c>
      <c r="B319" s="716" t="s">
        <v>519</v>
      </c>
      <c r="C319" s="717" t="s">
        <v>531</v>
      </c>
      <c r="D319" s="718" t="s">
        <v>532</v>
      </c>
      <c r="E319" s="719">
        <v>50113001</v>
      </c>
      <c r="F319" s="718" t="s">
        <v>536</v>
      </c>
      <c r="G319" s="717" t="s">
        <v>552</v>
      </c>
      <c r="H319" s="717">
        <v>184399</v>
      </c>
      <c r="I319" s="717">
        <v>84399</v>
      </c>
      <c r="J319" s="717" t="s">
        <v>1076</v>
      </c>
      <c r="K319" s="717" t="s">
        <v>1077</v>
      </c>
      <c r="L319" s="720">
        <v>126.19999999999999</v>
      </c>
      <c r="M319" s="720">
        <v>1</v>
      </c>
      <c r="N319" s="721">
        <v>126.19999999999999</v>
      </c>
    </row>
    <row r="320" spans="1:14" ht="14.45" customHeight="1" x14ac:dyDescent="0.2">
      <c r="A320" s="715" t="s">
        <v>518</v>
      </c>
      <c r="B320" s="716" t="s">
        <v>519</v>
      </c>
      <c r="C320" s="717" t="s">
        <v>531</v>
      </c>
      <c r="D320" s="718" t="s">
        <v>532</v>
      </c>
      <c r="E320" s="719">
        <v>50113001</v>
      </c>
      <c r="F320" s="718" t="s">
        <v>536</v>
      </c>
      <c r="G320" s="717" t="s">
        <v>537</v>
      </c>
      <c r="H320" s="717">
        <v>136129</v>
      </c>
      <c r="I320" s="717">
        <v>136129</v>
      </c>
      <c r="J320" s="717" t="s">
        <v>1078</v>
      </c>
      <c r="K320" s="717" t="s">
        <v>1079</v>
      </c>
      <c r="L320" s="720">
        <v>437.07599999999996</v>
      </c>
      <c r="M320" s="720">
        <v>30</v>
      </c>
      <c r="N320" s="721">
        <v>13112.279999999999</v>
      </c>
    </row>
    <row r="321" spans="1:14" ht="14.45" customHeight="1" x14ac:dyDescent="0.2">
      <c r="A321" s="715" t="s">
        <v>518</v>
      </c>
      <c r="B321" s="716" t="s">
        <v>519</v>
      </c>
      <c r="C321" s="717" t="s">
        <v>531</v>
      </c>
      <c r="D321" s="718" t="s">
        <v>532</v>
      </c>
      <c r="E321" s="719">
        <v>50113001</v>
      </c>
      <c r="F321" s="718" t="s">
        <v>536</v>
      </c>
      <c r="G321" s="717" t="s">
        <v>537</v>
      </c>
      <c r="H321" s="717">
        <v>136126</v>
      </c>
      <c r="I321" s="717">
        <v>136126</v>
      </c>
      <c r="J321" s="717" t="s">
        <v>1080</v>
      </c>
      <c r="K321" s="717" t="s">
        <v>1081</v>
      </c>
      <c r="L321" s="720">
        <v>438.07486486486499</v>
      </c>
      <c r="M321" s="720">
        <v>37</v>
      </c>
      <c r="N321" s="721">
        <v>16208.770000000004</v>
      </c>
    </row>
    <row r="322" spans="1:14" ht="14.45" customHeight="1" x14ac:dyDescent="0.2">
      <c r="A322" s="715" t="s">
        <v>518</v>
      </c>
      <c r="B322" s="716" t="s">
        <v>519</v>
      </c>
      <c r="C322" s="717" t="s">
        <v>531</v>
      </c>
      <c r="D322" s="718" t="s">
        <v>532</v>
      </c>
      <c r="E322" s="719">
        <v>50113001</v>
      </c>
      <c r="F322" s="718" t="s">
        <v>536</v>
      </c>
      <c r="G322" s="717" t="s">
        <v>552</v>
      </c>
      <c r="H322" s="717">
        <v>216900</v>
      </c>
      <c r="I322" s="717">
        <v>216900</v>
      </c>
      <c r="J322" s="717" t="s">
        <v>1082</v>
      </c>
      <c r="K322" s="717" t="s">
        <v>1083</v>
      </c>
      <c r="L322" s="720">
        <v>624.66576537911305</v>
      </c>
      <c r="M322" s="720">
        <v>699</v>
      </c>
      <c r="N322" s="721">
        <v>436641.37000000005</v>
      </c>
    </row>
    <row r="323" spans="1:14" ht="14.45" customHeight="1" x14ac:dyDescent="0.2">
      <c r="A323" s="715" t="s">
        <v>518</v>
      </c>
      <c r="B323" s="716" t="s">
        <v>519</v>
      </c>
      <c r="C323" s="717" t="s">
        <v>531</v>
      </c>
      <c r="D323" s="718" t="s">
        <v>532</v>
      </c>
      <c r="E323" s="719">
        <v>50113001</v>
      </c>
      <c r="F323" s="718" t="s">
        <v>536</v>
      </c>
      <c r="G323" s="717" t="s">
        <v>537</v>
      </c>
      <c r="H323" s="717">
        <v>216963</v>
      </c>
      <c r="I323" s="717">
        <v>216963</v>
      </c>
      <c r="J323" s="717" t="s">
        <v>1084</v>
      </c>
      <c r="K323" s="717" t="s">
        <v>1085</v>
      </c>
      <c r="L323" s="720">
        <v>114.79666666666667</v>
      </c>
      <c r="M323" s="720">
        <v>3</v>
      </c>
      <c r="N323" s="721">
        <v>344.39</v>
      </c>
    </row>
    <row r="324" spans="1:14" ht="14.45" customHeight="1" x14ac:dyDescent="0.2">
      <c r="A324" s="715" t="s">
        <v>518</v>
      </c>
      <c r="B324" s="716" t="s">
        <v>519</v>
      </c>
      <c r="C324" s="717" t="s">
        <v>531</v>
      </c>
      <c r="D324" s="718" t="s">
        <v>532</v>
      </c>
      <c r="E324" s="719">
        <v>50113001</v>
      </c>
      <c r="F324" s="718" t="s">
        <v>536</v>
      </c>
      <c r="G324" s="717" t="s">
        <v>537</v>
      </c>
      <c r="H324" s="717">
        <v>988466</v>
      </c>
      <c r="I324" s="717">
        <v>192729</v>
      </c>
      <c r="J324" s="717" t="s">
        <v>1086</v>
      </c>
      <c r="K324" s="717" t="s">
        <v>1087</v>
      </c>
      <c r="L324" s="720">
        <v>54.03</v>
      </c>
      <c r="M324" s="720">
        <v>1</v>
      </c>
      <c r="N324" s="721">
        <v>54.03</v>
      </c>
    </row>
    <row r="325" spans="1:14" ht="14.45" customHeight="1" x14ac:dyDescent="0.2">
      <c r="A325" s="715" t="s">
        <v>518</v>
      </c>
      <c r="B325" s="716" t="s">
        <v>519</v>
      </c>
      <c r="C325" s="717" t="s">
        <v>531</v>
      </c>
      <c r="D325" s="718" t="s">
        <v>532</v>
      </c>
      <c r="E325" s="719">
        <v>50113001</v>
      </c>
      <c r="F325" s="718" t="s">
        <v>536</v>
      </c>
      <c r="G325" s="717" t="s">
        <v>552</v>
      </c>
      <c r="H325" s="717">
        <v>155823</v>
      </c>
      <c r="I325" s="717">
        <v>55823</v>
      </c>
      <c r="J325" s="717" t="s">
        <v>1088</v>
      </c>
      <c r="K325" s="717" t="s">
        <v>1089</v>
      </c>
      <c r="L325" s="720">
        <v>33.470000000000006</v>
      </c>
      <c r="M325" s="720">
        <v>4</v>
      </c>
      <c r="N325" s="721">
        <v>133.88000000000002</v>
      </c>
    </row>
    <row r="326" spans="1:14" ht="14.45" customHeight="1" x14ac:dyDescent="0.2">
      <c r="A326" s="715" t="s">
        <v>518</v>
      </c>
      <c r="B326" s="716" t="s">
        <v>519</v>
      </c>
      <c r="C326" s="717" t="s">
        <v>531</v>
      </c>
      <c r="D326" s="718" t="s">
        <v>532</v>
      </c>
      <c r="E326" s="719">
        <v>50113001</v>
      </c>
      <c r="F326" s="718" t="s">
        <v>536</v>
      </c>
      <c r="G326" s="717" t="s">
        <v>552</v>
      </c>
      <c r="H326" s="717">
        <v>107981</v>
      </c>
      <c r="I326" s="717">
        <v>7981</v>
      </c>
      <c r="J326" s="717" t="s">
        <v>1088</v>
      </c>
      <c r="K326" s="717" t="s">
        <v>1090</v>
      </c>
      <c r="L326" s="720">
        <v>50.640608695652162</v>
      </c>
      <c r="M326" s="720">
        <v>575</v>
      </c>
      <c r="N326" s="721">
        <v>29118.349999999991</v>
      </c>
    </row>
    <row r="327" spans="1:14" ht="14.45" customHeight="1" x14ac:dyDescent="0.2">
      <c r="A327" s="715" t="s">
        <v>518</v>
      </c>
      <c r="B327" s="716" t="s">
        <v>519</v>
      </c>
      <c r="C327" s="717" t="s">
        <v>531</v>
      </c>
      <c r="D327" s="718" t="s">
        <v>532</v>
      </c>
      <c r="E327" s="719">
        <v>50113001</v>
      </c>
      <c r="F327" s="718" t="s">
        <v>536</v>
      </c>
      <c r="G327" s="717" t="s">
        <v>552</v>
      </c>
      <c r="H327" s="717">
        <v>126786</v>
      </c>
      <c r="I327" s="717">
        <v>26786</v>
      </c>
      <c r="J327" s="717" t="s">
        <v>1091</v>
      </c>
      <c r="K327" s="717" t="s">
        <v>1092</v>
      </c>
      <c r="L327" s="720">
        <v>406.08493670886082</v>
      </c>
      <c r="M327" s="720">
        <v>79</v>
      </c>
      <c r="N327" s="721">
        <v>32080.710000000006</v>
      </c>
    </row>
    <row r="328" spans="1:14" ht="14.45" customHeight="1" x14ac:dyDescent="0.2">
      <c r="A328" s="715" t="s">
        <v>518</v>
      </c>
      <c r="B328" s="716" t="s">
        <v>519</v>
      </c>
      <c r="C328" s="717" t="s">
        <v>531</v>
      </c>
      <c r="D328" s="718" t="s">
        <v>532</v>
      </c>
      <c r="E328" s="719">
        <v>50113001</v>
      </c>
      <c r="F328" s="718" t="s">
        <v>536</v>
      </c>
      <c r="G328" s="717" t="s">
        <v>537</v>
      </c>
      <c r="H328" s="717">
        <v>125907</v>
      </c>
      <c r="I328" s="717">
        <v>125907</v>
      </c>
      <c r="J328" s="717" t="s">
        <v>1093</v>
      </c>
      <c r="K328" s="717" t="s">
        <v>1094</v>
      </c>
      <c r="L328" s="720">
        <v>682.00001085354495</v>
      </c>
      <c r="M328" s="720">
        <v>203</v>
      </c>
      <c r="N328" s="721">
        <v>138446.00220326963</v>
      </c>
    </row>
    <row r="329" spans="1:14" ht="14.45" customHeight="1" x14ac:dyDescent="0.2">
      <c r="A329" s="715" t="s">
        <v>518</v>
      </c>
      <c r="B329" s="716" t="s">
        <v>519</v>
      </c>
      <c r="C329" s="717" t="s">
        <v>531</v>
      </c>
      <c r="D329" s="718" t="s">
        <v>532</v>
      </c>
      <c r="E329" s="719">
        <v>50113001</v>
      </c>
      <c r="F329" s="718" t="s">
        <v>536</v>
      </c>
      <c r="G329" s="717" t="s">
        <v>552</v>
      </c>
      <c r="H329" s="717">
        <v>187607</v>
      </c>
      <c r="I329" s="717">
        <v>187607</v>
      </c>
      <c r="J329" s="717" t="s">
        <v>1095</v>
      </c>
      <c r="K329" s="717" t="s">
        <v>1096</v>
      </c>
      <c r="L329" s="720">
        <v>273.90000000000003</v>
      </c>
      <c r="M329" s="720">
        <v>24</v>
      </c>
      <c r="N329" s="721">
        <v>6573.6</v>
      </c>
    </row>
    <row r="330" spans="1:14" ht="14.45" customHeight="1" x14ac:dyDescent="0.2">
      <c r="A330" s="715" t="s">
        <v>518</v>
      </c>
      <c r="B330" s="716" t="s">
        <v>519</v>
      </c>
      <c r="C330" s="717" t="s">
        <v>531</v>
      </c>
      <c r="D330" s="718" t="s">
        <v>532</v>
      </c>
      <c r="E330" s="719">
        <v>50113001</v>
      </c>
      <c r="F330" s="718" t="s">
        <v>536</v>
      </c>
      <c r="G330" s="717" t="s">
        <v>537</v>
      </c>
      <c r="H330" s="717">
        <v>111635</v>
      </c>
      <c r="I330" s="717">
        <v>11635</v>
      </c>
      <c r="J330" s="717" t="s">
        <v>1097</v>
      </c>
      <c r="K330" s="717" t="s">
        <v>1098</v>
      </c>
      <c r="L330" s="720">
        <v>327.05999999999995</v>
      </c>
      <c r="M330" s="720">
        <v>5</v>
      </c>
      <c r="N330" s="721">
        <v>1635.2999999999997</v>
      </c>
    </row>
    <row r="331" spans="1:14" ht="14.45" customHeight="1" x14ac:dyDescent="0.2">
      <c r="A331" s="715" t="s">
        <v>518</v>
      </c>
      <c r="B331" s="716" t="s">
        <v>519</v>
      </c>
      <c r="C331" s="717" t="s">
        <v>531</v>
      </c>
      <c r="D331" s="718" t="s">
        <v>532</v>
      </c>
      <c r="E331" s="719">
        <v>50113001</v>
      </c>
      <c r="F331" s="718" t="s">
        <v>536</v>
      </c>
      <c r="G331" s="717" t="s">
        <v>537</v>
      </c>
      <c r="H331" s="717">
        <v>100874</v>
      </c>
      <c r="I331" s="717">
        <v>874</v>
      </c>
      <c r="J331" s="717" t="s">
        <v>1099</v>
      </c>
      <c r="K331" s="717" t="s">
        <v>1100</v>
      </c>
      <c r="L331" s="720">
        <v>70.30217647058825</v>
      </c>
      <c r="M331" s="720">
        <v>170</v>
      </c>
      <c r="N331" s="721">
        <v>11951.370000000003</v>
      </c>
    </row>
    <row r="332" spans="1:14" ht="14.45" customHeight="1" x14ac:dyDescent="0.2">
      <c r="A332" s="715" t="s">
        <v>518</v>
      </c>
      <c r="B332" s="716" t="s">
        <v>519</v>
      </c>
      <c r="C332" s="717" t="s">
        <v>531</v>
      </c>
      <c r="D332" s="718" t="s">
        <v>532</v>
      </c>
      <c r="E332" s="719">
        <v>50113001</v>
      </c>
      <c r="F332" s="718" t="s">
        <v>536</v>
      </c>
      <c r="G332" s="717" t="s">
        <v>537</v>
      </c>
      <c r="H332" s="717">
        <v>102668</v>
      </c>
      <c r="I332" s="717">
        <v>2668</v>
      </c>
      <c r="J332" s="717" t="s">
        <v>1101</v>
      </c>
      <c r="K332" s="717" t="s">
        <v>1102</v>
      </c>
      <c r="L332" s="720">
        <v>33.469999999999992</v>
      </c>
      <c r="M332" s="720">
        <v>6</v>
      </c>
      <c r="N332" s="721">
        <v>200.81999999999994</v>
      </c>
    </row>
    <row r="333" spans="1:14" ht="14.45" customHeight="1" x14ac:dyDescent="0.2">
      <c r="A333" s="715" t="s">
        <v>518</v>
      </c>
      <c r="B333" s="716" t="s">
        <v>519</v>
      </c>
      <c r="C333" s="717" t="s">
        <v>531</v>
      </c>
      <c r="D333" s="718" t="s">
        <v>532</v>
      </c>
      <c r="E333" s="719">
        <v>50113001</v>
      </c>
      <c r="F333" s="718" t="s">
        <v>536</v>
      </c>
      <c r="G333" s="717" t="s">
        <v>537</v>
      </c>
      <c r="H333" s="717">
        <v>200863</v>
      </c>
      <c r="I333" s="717">
        <v>200863</v>
      </c>
      <c r="J333" s="717" t="s">
        <v>1103</v>
      </c>
      <c r="K333" s="717" t="s">
        <v>1104</v>
      </c>
      <c r="L333" s="720">
        <v>85.304647887323952</v>
      </c>
      <c r="M333" s="720">
        <v>71</v>
      </c>
      <c r="N333" s="721">
        <v>6056.630000000001</v>
      </c>
    </row>
    <row r="334" spans="1:14" ht="14.45" customHeight="1" x14ac:dyDescent="0.2">
      <c r="A334" s="715" t="s">
        <v>518</v>
      </c>
      <c r="B334" s="716" t="s">
        <v>519</v>
      </c>
      <c r="C334" s="717" t="s">
        <v>531</v>
      </c>
      <c r="D334" s="718" t="s">
        <v>532</v>
      </c>
      <c r="E334" s="719">
        <v>50113001</v>
      </c>
      <c r="F334" s="718" t="s">
        <v>536</v>
      </c>
      <c r="G334" s="717" t="s">
        <v>537</v>
      </c>
      <c r="H334" s="717">
        <v>100876</v>
      </c>
      <c r="I334" s="717">
        <v>876</v>
      </c>
      <c r="J334" s="717" t="s">
        <v>1103</v>
      </c>
      <c r="K334" s="717" t="s">
        <v>1100</v>
      </c>
      <c r="L334" s="720">
        <v>74.774666666666661</v>
      </c>
      <c r="M334" s="720">
        <v>90</v>
      </c>
      <c r="N334" s="721">
        <v>6729.7199999999993</v>
      </c>
    </row>
    <row r="335" spans="1:14" ht="14.45" customHeight="1" x14ac:dyDescent="0.2">
      <c r="A335" s="715" t="s">
        <v>518</v>
      </c>
      <c r="B335" s="716" t="s">
        <v>519</v>
      </c>
      <c r="C335" s="717" t="s">
        <v>531</v>
      </c>
      <c r="D335" s="718" t="s">
        <v>532</v>
      </c>
      <c r="E335" s="719">
        <v>50113001</v>
      </c>
      <c r="F335" s="718" t="s">
        <v>536</v>
      </c>
      <c r="G335" s="717" t="s">
        <v>537</v>
      </c>
      <c r="H335" s="717">
        <v>844547</v>
      </c>
      <c r="I335" s="717">
        <v>107143</v>
      </c>
      <c r="J335" s="717" t="s">
        <v>1105</v>
      </c>
      <c r="K335" s="717" t="s">
        <v>1106</v>
      </c>
      <c r="L335" s="720">
        <v>57.13</v>
      </c>
      <c r="M335" s="720">
        <v>1</v>
      </c>
      <c r="N335" s="721">
        <v>57.13</v>
      </c>
    </row>
    <row r="336" spans="1:14" ht="14.45" customHeight="1" x14ac:dyDescent="0.2">
      <c r="A336" s="715" t="s">
        <v>518</v>
      </c>
      <c r="B336" s="716" t="s">
        <v>519</v>
      </c>
      <c r="C336" s="717" t="s">
        <v>531</v>
      </c>
      <c r="D336" s="718" t="s">
        <v>532</v>
      </c>
      <c r="E336" s="719">
        <v>50113001</v>
      </c>
      <c r="F336" s="718" t="s">
        <v>536</v>
      </c>
      <c r="G336" s="717" t="s">
        <v>537</v>
      </c>
      <c r="H336" s="717">
        <v>218090</v>
      </c>
      <c r="I336" s="717">
        <v>218090</v>
      </c>
      <c r="J336" s="717" t="s">
        <v>1107</v>
      </c>
      <c r="K336" s="717" t="s">
        <v>1108</v>
      </c>
      <c r="L336" s="720">
        <v>75.41</v>
      </c>
      <c r="M336" s="720">
        <v>1</v>
      </c>
      <c r="N336" s="721">
        <v>75.41</v>
      </c>
    </row>
    <row r="337" spans="1:14" ht="14.45" customHeight="1" x14ac:dyDescent="0.2">
      <c r="A337" s="715" t="s">
        <v>518</v>
      </c>
      <c r="B337" s="716" t="s">
        <v>519</v>
      </c>
      <c r="C337" s="717" t="s">
        <v>531</v>
      </c>
      <c r="D337" s="718" t="s">
        <v>532</v>
      </c>
      <c r="E337" s="719">
        <v>50113001</v>
      </c>
      <c r="F337" s="718" t="s">
        <v>536</v>
      </c>
      <c r="G337" s="717" t="s">
        <v>537</v>
      </c>
      <c r="H337" s="717">
        <v>157351</v>
      </c>
      <c r="I337" s="717">
        <v>57351</v>
      </c>
      <c r="J337" s="717" t="s">
        <v>1109</v>
      </c>
      <c r="K337" s="717" t="s">
        <v>1110</v>
      </c>
      <c r="L337" s="720">
        <v>47.406666666666673</v>
      </c>
      <c r="M337" s="720">
        <v>6</v>
      </c>
      <c r="N337" s="721">
        <v>284.44000000000005</v>
      </c>
    </row>
    <row r="338" spans="1:14" ht="14.45" customHeight="1" x14ac:dyDescent="0.2">
      <c r="A338" s="715" t="s">
        <v>518</v>
      </c>
      <c r="B338" s="716" t="s">
        <v>519</v>
      </c>
      <c r="C338" s="717" t="s">
        <v>531</v>
      </c>
      <c r="D338" s="718" t="s">
        <v>532</v>
      </c>
      <c r="E338" s="719">
        <v>50113001</v>
      </c>
      <c r="F338" s="718" t="s">
        <v>536</v>
      </c>
      <c r="G338" s="717" t="s">
        <v>537</v>
      </c>
      <c r="H338" s="717">
        <v>101940</v>
      </c>
      <c r="I338" s="717">
        <v>1940</v>
      </c>
      <c r="J338" s="717" t="s">
        <v>1111</v>
      </c>
      <c r="K338" s="717" t="s">
        <v>1112</v>
      </c>
      <c r="L338" s="720">
        <v>35.159999999999997</v>
      </c>
      <c r="M338" s="720">
        <v>2</v>
      </c>
      <c r="N338" s="721">
        <v>70.319999999999993</v>
      </c>
    </row>
    <row r="339" spans="1:14" ht="14.45" customHeight="1" x14ac:dyDescent="0.2">
      <c r="A339" s="715" t="s">
        <v>518</v>
      </c>
      <c r="B339" s="716" t="s">
        <v>519</v>
      </c>
      <c r="C339" s="717" t="s">
        <v>531</v>
      </c>
      <c r="D339" s="718" t="s">
        <v>532</v>
      </c>
      <c r="E339" s="719">
        <v>50113001</v>
      </c>
      <c r="F339" s="718" t="s">
        <v>536</v>
      </c>
      <c r="G339" s="717" t="s">
        <v>537</v>
      </c>
      <c r="H339" s="717">
        <v>214912</v>
      </c>
      <c r="I339" s="717">
        <v>214912</v>
      </c>
      <c r="J339" s="717" t="s">
        <v>1113</v>
      </c>
      <c r="K339" s="717" t="s">
        <v>1114</v>
      </c>
      <c r="L339" s="720">
        <v>130.16999999999996</v>
      </c>
      <c r="M339" s="720">
        <v>8</v>
      </c>
      <c r="N339" s="721">
        <v>1041.3599999999997</v>
      </c>
    </row>
    <row r="340" spans="1:14" ht="14.45" customHeight="1" x14ac:dyDescent="0.2">
      <c r="A340" s="715" t="s">
        <v>518</v>
      </c>
      <c r="B340" s="716" t="s">
        <v>519</v>
      </c>
      <c r="C340" s="717" t="s">
        <v>531</v>
      </c>
      <c r="D340" s="718" t="s">
        <v>532</v>
      </c>
      <c r="E340" s="719">
        <v>50113001</v>
      </c>
      <c r="F340" s="718" t="s">
        <v>536</v>
      </c>
      <c r="G340" s="717" t="s">
        <v>537</v>
      </c>
      <c r="H340" s="717">
        <v>230359</v>
      </c>
      <c r="I340" s="717">
        <v>230359</v>
      </c>
      <c r="J340" s="717" t="s">
        <v>1115</v>
      </c>
      <c r="K340" s="717" t="s">
        <v>1116</v>
      </c>
      <c r="L340" s="720">
        <v>170.52000000000004</v>
      </c>
      <c r="M340" s="720">
        <v>2</v>
      </c>
      <c r="N340" s="721">
        <v>341.04000000000008</v>
      </c>
    </row>
    <row r="341" spans="1:14" ht="14.45" customHeight="1" x14ac:dyDescent="0.2">
      <c r="A341" s="715" t="s">
        <v>518</v>
      </c>
      <c r="B341" s="716" t="s">
        <v>519</v>
      </c>
      <c r="C341" s="717" t="s">
        <v>531</v>
      </c>
      <c r="D341" s="718" t="s">
        <v>532</v>
      </c>
      <c r="E341" s="719">
        <v>50113001</v>
      </c>
      <c r="F341" s="718" t="s">
        <v>536</v>
      </c>
      <c r="G341" s="717" t="s">
        <v>552</v>
      </c>
      <c r="H341" s="717">
        <v>850729</v>
      </c>
      <c r="I341" s="717">
        <v>157875</v>
      </c>
      <c r="J341" s="717" t="s">
        <v>1117</v>
      </c>
      <c r="K341" s="717" t="s">
        <v>1118</v>
      </c>
      <c r="L341" s="720">
        <v>212.15503875968992</v>
      </c>
      <c r="M341" s="720">
        <v>129</v>
      </c>
      <c r="N341" s="721">
        <v>27368</v>
      </c>
    </row>
    <row r="342" spans="1:14" ht="14.45" customHeight="1" x14ac:dyDescent="0.2">
      <c r="A342" s="715" t="s">
        <v>518</v>
      </c>
      <c r="B342" s="716" t="s">
        <v>519</v>
      </c>
      <c r="C342" s="717" t="s">
        <v>531</v>
      </c>
      <c r="D342" s="718" t="s">
        <v>532</v>
      </c>
      <c r="E342" s="719">
        <v>50113001</v>
      </c>
      <c r="F342" s="718" t="s">
        <v>536</v>
      </c>
      <c r="G342" s="717" t="s">
        <v>537</v>
      </c>
      <c r="H342" s="717">
        <v>226434</v>
      </c>
      <c r="I342" s="717">
        <v>226434</v>
      </c>
      <c r="J342" s="717" t="s">
        <v>1119</v>
      </c>
      <c r="K342" s="717" t="s">
        <v>1120</v>
      </c>
      <c r="L342" s="720">
        <v>29.7</v>
      </c>
      <c r="M342" s="720">
        <v>1</v>
      </c>
      <c r="N342" s="721">
        <v>29.7</v>
      </c>
    </row>
    <row r="343" spans="1:14" ht="14.45" customHeight="1" x14ac:dyDescent="0.2">
      <c r="A343" s="715" t="s">
        <v>518</v>
      </c>
      <c r="B343" s="716" t="s">
        <v>519</v>
      </c>
      <c r="C343" s="717" t="s">
        <v>531</v>
      </c>
      <c r="D343" s="718" t="s">
        <v>532</v>
      </c>
      <c r="E343" s="719">
        <v>50113001</v>
      </c>
      <c r="F343" s="718" t="s">
        <v>536</v>
      </c>
      <c r="G343" s="717" t="s">
        <v>537</v>
      </c>
      <c r="H343" s="717">
        <v>121393</v>
      </c>
      <c r="I343" s="717">
        <v>9999999</v>
      </c>
      <c r="J343" s="717" t="s">
        <v>1121</v>
      </c>
      <c r="K343" s="717" t="s">
        <v>1122</v>
      </c>
      <c r="L343" s="720">
        <v>6050</v>
      </c>
      <c r="M343" s="720">
        <v>3</v>
      </c>
      <c r="N343" s="721">
        <v>18150</v>
      </c>
    </row>
    <row r="344" spans="1:14" ht="14.45" customHeight="1" x14ac:dyDescent="0.2">
      <c r="A344" s="715" t="s">
        <v>518</v>
      </c>
      <c r="B344" s="716" t="s">
        <v>519</v>
      </c>
      <c r="C344" s="717" t="s">
        <v>531</v>
      </c>
      <c r="D344" s="718" t="s">
        <v>532</v>
      </c>
      <c r="E344" s="719">
        <v>50113001</v>
      </c>
      <c r="F344" s="718" t="s">
        <v>536</v>
      </c>
      <c r="G344" s="717" t="s">
        <v>537</v>
      </c>
      <c r="H344" s="717">
        <v>147671</v>
      </c>
      <c r="I344" s="717">
        <v>47671</v>
      </c>
      <c r="J344" s="717" t="s">
        <v>1123</v>
      </c>
      <c r="K344" s="717" t="s">
        <v>1124</v>
      </c>
      <c r="L344" s="720">
        <v>351.17999999999995</v>
      </c>
      <c r="M344" s="720">
        <v>4</v>
      </c>
      <c r="N344" s="721">
        <v>1404.7199999999998</v>
      </c>
    </row>
    <row r="345" spans="1:14" ht="14.45" customHeight="1" x14ac:dyDescent="0.2">
      <c r="A345" s="715" t="s">
        <v>518</v>
      </c>
      <c r="B345" s="716" t="s">
        <v>519</v>
      </c>
      <c r="C345" s="717" t="s">
        <v>531</v>
      </c>
      <c r="D345" s="718" t="s">
        <v>532</v>
      </c>
      <c r="E345" s="719">
        <v>50113001</v>
      </c>
      <c r="F345" s="718" t="s">
        <v>536</v>
      </c>
      <c r="G345" s="717" t="s">
        <v>537</v>
      </c>
      <c r="H345" s="717">
        <v>218375</v>
      </c>
      <c r="I345" s="717">
        <v>218375</v>
      </c>
      <c r="J345" s="717" t="s">
        <v>1123</v>
      </c>
      <c r="K345" s="717" t="s">
        <v>1124</v>
      </c>
      <c r="L345" s="720">
        <v>351.15000000000003</v>
      </c>
      <c r="M345" s="720">
        <v>3</v>
      </c>
      <c r="N345" s="721">
        <v>1053.45</v>
      </c>
    </row>
    <row r="346" spans="1:14" ht="14.45" customHeight="1" x14ac:dyDescent="0.2">
      <c r="A346" s="715" t="s">
        <v>518</v>
      </c>
      <c r="B346" s="716" t="s">
        <v>519</v>
      </c>
      <c r="C346" s="717" t="s">
        <v>531</v>
      </c>
      <c r="D346" s="718" t="s">
        <v>532</v>
      </c>
      <c r="E346" s="719">
        <v>50113001</v>
      </c>
      <c r="F346" s="718" t="s">
        <v>536</v>
      </c>
      <c r="G346" s="717" t="s">
        <v>537</v>
      </c>
      <c r="H346" s="717">
        <v>155911</v>
      </c>
      <c r="I346" s="717">
        <v>55911</v>
      </c>
      <c r="J346" s="717" t="s">
        <v>1125</v>
      </c>
      <c r="K346" s="717" t="s">
        <v>1126</v>
      </c>
      <c r="L346" s="720">
        <v>37.572499999999998</v>
      </c>
      <c r="M346" s="720">
        <v>60</v>
      </c>
      <c r="N346" s="721">
        <v>2254.35</v>
      </c>
    </row>
    <row r="347" spans="1:14" ht="14.45" customHeight="1" x14ac:dyDescent="0.2">
      <c r="A347" s="715" t="s">
        <v>518</v>
      </c>
      <c r="B347" s="716" t="s">
        <v>519</v>
      </c>
      <c r="C347" s="717" t="s">
        <v>531</v>
      </c>
      <c r="D347" s="718" t="s">
        <v>532</v>
      </c>
      <c r="E347" s="719">
        <v>50113001</v>
      </c>
      <c r="F347" s="718" t="s">
        <v>536</v>
      </c>
      <c r="G347" s="717" t="s">
        <v>537</v>
      </c>
      <c r="H347" s="717">
        <v>113424</v>
      </c>
      <c r="I347" s="717">
        <v>9999999</v>
      </c>
      <c r="J347" s="717" t="s">
        <v>1127</v>
      </c>
      <c r="K347" s="717" t="s">
        <v>1128</v>
      </c>
      <c r="L347" s="720">
        <v>2393.2600000000007</v>
      </c>
      <c r="M347" s="720">
        <v>25</v>
      </c>
      <c r="N347" s="721">
        <v>59831.500000000015</v>
      </c>
    </row>
    <row r="348" spans="1:14" ht="14.45" customHeight="1" x14ac:dyDescent="0.2">
      <c r="A348" s="715" t="s">
        <v>518</v>
      </c>
      <c r="B348" s="716" t="s">
        <v>519</v>
      </c>
      <c r="C348" s="717" t="s">
        <v>531</v>
      </c>
      <c r="D348" s="718" t="s">
        <v>532</v>
      </c>
      <c r="E348" s="719">
        <v>50113001</v>
      </c>
      <c r="F348" s="718" t="s">
        <v>536</v>
      </c>
      <c r="G348" s="717" t="s">
        <v>537</v>
      </c>
      <c r="H348" s="717">
        <v>111671</v>
      </c>
      <c r="I348" s="717">
        <v>11671</v>
      </c>
      <c r="J348" s="717" t="s">
        <v>1129</v>
      </c>
      <c r="K348" s="717" t="s">
        <v>1130</v>
      </c>
      <c r="L348" s="720">
        <v>209.00000006814366</v>
      </c>
      <c r="M348" s="720">
        <v>252</v>
      </c>
      <c r="N348" s="721">
        <v>52668.000017172206</v>
      </c>
    </row>
    <row r="349" spans="1:14" ht="14.45" customHeight="1" x14ac:dyDescent="0.2">
      <c r="A349" s="715" t="s">
        <v>518</v>
      </c>
      <c r="B349" s="716" t="s">
        <v>519</v>
      </c>
      <c r="C349" s="717" t="s">
        <v>531</v>
      </c>
      <c r="D349" s="718" t="s">
        <v>532</v>
      </c>
      <c r="E349" s="719">
        <v>50113001</v>
      </c>
      <c r="F349" s="718" t="s">
        <v>536</v>
      </c>
      <c r="G349" s="717" t="s">
        <v>537</v>
      </c>
      <c r="H349" s="717">
        <v>11670</v>
      </c>
      <c r="I349" s="717">
        <v>11670</v>
      </c>
      <c r="J349" s="717" t="s">
        <v>1129</v>
      </c>
      <c r="K349" s="717" t="s">
        <v>1131</v>
      </c>
      <c r="L349" s="720">
        <v>352</v>
      </c>
      <c r="M349" s="720">
        <v>11</v>
      </c>
      <c r="N349" s="721">
        <v>3872</v>
      </c>
    </row>
    <row r="350" spans="1:14" ht="14.45" customHeight="1" x14ac:dyDescent="0.2">
      <c r="A350" s="715" t="s">
        <v>518</v>
      </c>
      <c r="B350" s="716" t="s">
        <v>519</v>
      </c>
      <c r="C350" s="717" t="s">
        <v>531</v>
      </c>
      <c r="D350" s="718" t="s">
        <v>532</v>
      </c>
      <c r="E350" s="719">
        <v>50113001</v>
      </c>
      <c r="F350" s="718" t="s">
        <v>536</v>
      </c>
      <c r="G350" s="717" t="s">
        <v>537</v>
      </c>
      <c r="H350" s="717">
        <v>111696</v>
      </c>
      <c r="I350" s="717">
        <v>11696</v>
      </c>
      <c r="J350" s="717" t="s">
        <v>1132</v>
      </c>
      <c r="K350" s="717" t="s">
        <v>1130</v>
      </c>
      <c r="L350" s="720">
        <v>324.83000000000021</v>
      </c>
      <c r="M350" s="720">
        <v>212</v>
      </c>
      <c r="N350" s="721">
        <v>68863.96000000005</v>
      </c>
    </row>
    <row r="351" spans="1:14" ht="14.45" customHeight="1" x14ac:dyDescent="0.2">
      <c r="A351" s="715" t="s">
        <v>518</v>
      </c>
      <c r="B351" s="716" t="s">
        <v>519</v>
      </c>
      <c r="C351" s="717" t="s">
        <v>531</v>
      </c>
      <c r="D351" s="718" t="s">
        <v>532</v>
      </c>
      <c r="E351" s="719">
        <v>50113001</v>
      </c>
      <c r="F351" s="718" t="s">
        <v>536</v>
      </c>
      <c r="G351" s="717" t="s">
        <v>537</v>
      </c>
      <c r="H351" s="717">
        <v>102963</v>
      </c>
      <c r="I351" s="717">
        <v>2963</v>
      </c>
      <c r="J351" s="717" t="s">
        <v>1133</v>
      </c>
      <c r="K351" s="717" t="s">
        <v>1134</v>
      </c>
      <c r="L351" s="720">
        <v>121.82999999999997</v>
      </c>
      <c r="M351" s="720">
        <v>3</v>
      </c>
      <c r="N351" s="721">
        <v>365.4899999999999</v>
      </c>
    </row>
    <row r="352" spans="1:14" ht="14.45" customHeight="1" x14ac:dyDescent="0.2">
      <c r="A352" s="715" t="s">
        <v>518</v>
      </c>
      <c r="B352" s="716" t="s">
        <v>519</v>
      </c>
      <c r="C352" s="717" t="s">
        <v>531</v>
      </c>
      <c r="D352" s="718" t="s">
        <v>532</v>
      </c>
      <c r="E352" s="719">
        <v>50113001</v>
      </c>
      <c r="F352" s="718" t="s">
        <v>536</v>
      </c>
      <c r="G352" s="717" t="s">
        <v>537</v>
      </c>
      <c r="H352" s="717">
        <v>132917</v>
      </c>
      <c r="I352" s="717">
        <v>32917</v>
      </c>
      <c r="J352" s="717" t="s">
        <v>1135</v>
      </c>
      <c r="K352" s="717" t="s">
        <v>1136</v>
      </c>
      <c r="L352" s="720">
        <v>160.52000000000001</v>
      </c>
      <c r="M352" s="720">
        <v>1</v>
      </c>
      <c r="N352" s="721">
        <v>160.52000000000001</v>
      </c>
    </row>
    <row r="353" spans="1:14" ht="14.45" customHeight="1" x14ac:dyDescent="0.2">
      <c r="A353" s="715" t="s">
        <v>518</v>
      </c>
      <c r="B353" s="716" t="s">
        <v>519</v>
      </c>
      <c r="C353" s="717" t="s">
        <v>531</v>
      </c>
      <c r="D353" s="718" t="s">
        <v>532</v>
      </c>
      <c r="E353" s="719">
        <v>50113001</v>
      </c>
      <c r="F353" s="718" t="s">
        <v>536</v>
      </c>
      <c r="G353" s="717" t="s">
        <v>552</v>
      </c>
      <c r="H353" s="717">
        <v>845220</v>
      </c>
      <c r="I353" s="717">
        <v>101211</v>
      </c>
      <c r="J353" s="717" t="s">
        <v>1137</v>
      </c>
      <c r="K353" s="717" t="s">
        <v>683</v>
      </c>
      <c r="L353" s="720">
        <v>219.57</v>
      </c>
      <c r="M353" s="720">
        <v>1</v>
      </c>
      <c r="N353" s="721">
        <v>219.57</v>
      </c>
    </row>
    <row r="354" spans="1:14" ht="14.45" customHeight="1" x14ac:dyDescent="0.2">
      <c r="A354" s="715" t="s">
        <v>518</v>
      </c>
      <c r="B354" s="716" t="s">
        <v>519</v>
      </c>
      <c r="C354" s="717" t="s">
        <v>531</v>
      </c>
      <c r="D354" s="718" t="s">
        <v>532</v>
      </c>
      <c r="E354" s="719">
        <v>50113001</v>
      </c>
      <c r="F354" s="718" t="s">
        <v>536</v>
      </c>
      <c r="G354" s="717" t="s">
        <v>537</v>
      </c>
      <c r="H354" s="717">
        <v>849831</v>
      </c>
      <c r="I354" s="717">
        <v>162008</v>
      </c>
      <c r="J354" s="717" t="s">
        <v>1138</v>
      </c>
      <c r="K354" s="717" t="s">
        <v>1139</v>
      </c>
      <c r="L354" s="720">
        <v>170.83999999999997</v>
      </c>
      <c r="M354" s="720">
        <v>1</v>
      </c>
      <c r="N354" s="721">
        <v>170.83999999999997</v>
      </c>
    </row>
    <row r="355" spans="1:14" ht="14.45" customHeight="1" x14ac:dyDescent="0.2">
      <c r="A355" s="715" t="s">
        <v>518</v>
      </c>
      <c r="B355" s="716" t="s">
        <v>519</v>
      </c>
      <c r="C355" s="717" t="s">
        <v>531</v>
      </c>
      <c r="D355" s="718" t="s">
        <v>532</v>
      </c>
      <c r="E355" s="719">
        <v>50113001</v>
      </c>
      <c r="F355" s="718" t="s">
        <v>536</v>
      </c>
      <c r="G355" s="717" t="s">
        <v>537</v>
      </c>
      <c r="H355" s="717">
        <v>846338</v>
      </c>
      <c r="I355" s="717">
        <v>122685</v>
      </c>
      <c r="J355" s="717" t="s">
        <v>1140</v>
      </c>
      <c r="K355" s="717" t="s">
        <v>1139</v>
      </c>
      <c r="L355" s="720">
        <v>116.04000000000003</v>
      </c>
      <c r="M355" s="720">
        <v>1</v>
      </c>
      <c r="N355" s="721">
        <v>116.04000000000003</v>
      </c>
    </row>
    <row r="356" spans="1:14" ht="14.45" customHeight="1" x14ac:dyDescent="0.2">
      <c r="A356" s="715" t="s">
        <v>518</v>
      </c>
      <c r="B356" s="716" t="s">
        <v>519</v>
      </c>
      <c r="C356" s="717" t="s">
        <v>531</v>
      </c>
      <c r="D356" s="718" t="s">
        <v>532</v>
      </c>
      <c r="E356" s="719">
        <v>50113001</v>
      </c>
      <c r="F356" s="718" t="s">
        <v>536</v>
      </c>
      <c r="G356" s="717" t="s">
        <v>552</v>
      </c>
      <c r="H356" s="717">
        <v>845219</v>
      </c>
      <c r="I356" s="717">
        <v>101233</v>
      </c>
      <c r="J356" s="717" t="s">
        <v>1141</v>
      </c>
      <c r="K356" s="717" t="s">
        <v>1142</v>
      </c>
      <c r="L356" s="720">
        <v>368.25</v>
      </c>
      <c r="M356" s="720">
        <v>1</v>
      </c>
      <c r="N356" s="721">
        <v>368.25</v>
      </c>
    </row>
    <row r="357" spans="1:14" ht="14.45" customHeight="1" x14ac:dyDescent="0.2">
      <c r="A357" s="715" t="s">
        <v>518</v>
      </c>
      <c r="B357" s="716" t="s">
        <v>519</v>
      </c>
      <c r="C357" s="717" t="s">
        <v>531</v>
      </c>
      <c r="D357" s="718" t="s">
        <v>532</v>
      </c>
      <c r="E357" s="719">
        <v>50113001</v>
      </c>
      <c r="F357" s="718" t="s">
        <v>536</v>
      </c>
      <c r="G357" s="717" t="s">
        <v>552</v>
      </c>
      <c r="H357" s="717">
        <v>118175</v>
      </c>
      <c r="I357" s="717">
        <v>18175</v>
      </c>
      <c r="J357" s="717" t="s">
        <v>1143</v>
      </c>
      <c r="K357" s="717" t="s">
        <v>1144</v>
      </c>
      <c r="L357" s="720">
        <v>660.10819672131151</v>
      </c>
      <c r="M357" s="720">
        <v>183</v>
      </c>
      <c r="N357" s="721">
        <v>120799.8</v>
      </c>
    </row>
    <row r="358" spans="1:14" ht="14.45" customHeight="1" x14ac:dyDescent="0.2">
      <c r="A358" s="715" t="s">
        <v>518</v>
      </c>
      <c r="B358" s="716" t="s">
        <v>519</v>
      </c>
      <c r="C358" s="717" t="s">
        <v>531</v>
      </c>
      <c r="D358" s="718" t="s">
        <v>532</v>
      </c>
      <c r="E358" s="719">
        <v>50113001</v>
      </c>
      <c r="F358" s="718" t="s">
        <v>536</v>
      </c>
      <c r="G358" s="717" t="s">
        <v>520</v>
      </c>
      <c r="H358" s="717">
        <v>129027</v>
      </c>
      <c r="I358" s="717">
        <v>129027</v>
      </c>
      <c r="J358" s="717" t="s">
        <v>1145</v>
      </c>
      <c r="K358" s="717" t="s">
        <v>1146</v>
      </c>
      <c r="L358" s="720">
        <v>841.5</v>
      </c>
      <c r="M358" s="720">
        <v>1</v>
      </c>
      <c r="N358" s="721">
        <v>841.5</v>
      </c>
    </row>
    <row r="359" spans="1:14" ht="14.45" customHeight="1" x14ac:dyDescent="0.2">
      <c r="A359" s="715" t="s">
        <v>518</v>
      </c>
      <c r="B359" s="716" t="s">
        <v>519</v>
      </c>
      <c r="C359" s="717" t="s">
        <v>531</v>
      </c>
      <c r="D359" s="718" t="s">
        <v>532</v>
      </c>
      <c r="E359" s="719">
        <v>50113001</v>
      </c>
      <c r="F359" s="718" t="s">
        <v>536</v>
      </c>
      <c r="G359" s="717" t="s">
        <v>537</v>
      </c>
      <c r="H359" s="717">
        <v>191731</v>
      </c>
      <c r="I359" s="717">
        <v>91731</v>
      </c>
      <c r="J359" s="717" t="s">
        <v>1147</v>
      </c>
      <c r="K359" s="717" t="s">
        <v>1148</v>
      </c>
      <c r="L359" s="720">
        <v>3891.1200000000003</v>
      </c>
      <c r="M359" s="720">
        <v>2</v>
      </c>
      <c r="N359" s="721">
        <v>7782.2400000000007</v>
      </c>
    </row>
    <row r="360" spans="1:14" ht="14.45" customHeight="1" x14ac:dyDescent="0.2">
      <c r="A360" s="715" t="s">
        <v>518</v>
      </c>
      <c r="B360" s="716" t="s">
        <v>519</v>
      </c>
      <c r="C360" s="717" t="s">
        <v>531</v>
      </c>
      <c r="D360" s="718" t="s">
        <v>532</v>
      </c>
      <c r="E360" s="719">
        <v>50113001</v>
      </c>
      <c r="F360" s="718" t="s">
        <v>536</v>
      </c>
      <c r="G360" s="717" t="s">
        <v>537</v>
      </c>
      <c r="H360" s="717">
        <v>207776</v>
      </c>
      <c r="I360" s="717">
        <v>207776</v>
      </c>
      <c r="J360" s="717" t="s">
        <v>1149</v>
      </c>
      <c r="K360" s="717" t="s">
        <v>1150</v>
      </c>
      <c r="L360" s="720">
        <v>257.65000000000003</v>
      </c>
      <c r="M360" s="720">
        <v>2</v>
      </c>
      <c r="N360" s="721">
        <v>515.30000000000007</v>
      </c>
    </row>
    <row r="361" spans="1:14" ht="14.45" customHeight="1" x14ac:dyDescent="0.2">
      <c r="A361" s="715" t="s">
        <v>518</v>
      </c>
      <c r="B361" s="716" t="s">
        <v>519</v>
      </c>
      <c r="C361" s="717" t="s">
        <v>531</v>
      </c>
      <c r="D361" s="718" t="s">
        <v>532</v>
      </c>
      <c r="E361" s="719">
        <v>50113001</v>
      </c>
      <c r="F361" s="718" t="s">
        <v>536</v>
      </c>
      <c r="G361" s="717" t="s">
        <v>552</v>
      </c>
      <c r="H361" s="717">
        <v>178689</v>
      </c>
      <c r="I361" s="717">
        <v>178689</v>
      </c>
      <c r="J361" s="717" t="s">
        <v>1151</v>
      </c>
      <c r="K361" s="717" t="s">
        <v>1152</v>
      </c>
      <c r="L361" s="720">
        <v>97.65000000000002</v>
      </c>
      <c r="M361" s="720">
        <v>1</v>
      </c>
      <c r="N361" s="721">
        <v>97.65000000000002</v>
      </c>
    </row>
    <row r="362" spans="1:14" ht="14.45" customHeight="1" x14ac:dyDescent="0.2">
      <c r="A362" s="715" t="s">
        <v>518</v>
      </c>
      <c r="B362" s="716" t="s">
        <v>519</v>
      </c>
      <c r="C362" s="717" t="s">
        <v>531</v>
      </c>
      <c r="D362" s="718" t="s">
        <v>532</v>
      </c>
      <c r="E362" s="719">
        <v>50113001</v>
      </c>
      <c r="F362" s="718" t="s">
        <v>536</v>
      </c>
      <c r="G362" s="717" t="s">
        <v>537</v>
      </c>
      <c r="H362" s="717">
        <v>207692</v>
      </c>
      <c r="I362" s="717">
        <v>207692</v>
      </c>
      <c r="J362" s="717" t="s">
        <v>1153</v>
      </c>
      <c r="K362" s="717" t="s">
        <v>1154</v>
      </c>
      <c r="L362" s="720">
        <v>40.21</v>
      </c>
      <c r="M362" s="720">
        <v>1</v>
      </c>
      <c r="N362" s="721">
        <v>40.21</v>
      </c>
    </row>
    <row r="363" spans="1:14" ht="14.45" customHeight="1" x14ac:dyDescent="0.2">
      <c r="A363" s="715" t="s">
        <v>518</v>
      </c>
      <c r="B363" s="716" t="s">
        <v>519</v>
      </c>
      <c r="C363" s="717" t="s">
        <v>531</v>
      </c>
      <c r="D363" s="718" t="s">
        <v>532</v>
      </c>
      <c r="E363" s="719">
        <v>50113001</v>
      </c>
      <c r="F363" s="718" t="s">
        <v>536</v>
      </c>
      <c r="G363" s="717" t="s">
        <v>537</v>
      </c>
      <c r="H363" s="717">
        <v>845758</v>
      </c>
      <c r="I363" s="717">
        <v>280</v>
      </c>
      <c r="J363" s="717" t="s">
        <v>1155</v>
      </c>
      <c r="K363" s="717" t="s">
        <v>1156</v>
      </c>
      <c r="L363" s="720">
        <v>53.57</v>
      </c>
      <c r="M363" s="720">
        <v>4</v>
      </c>
      <c r="N363" s="721">
        <v>214.28</v>
      </c>
    </row>
    <row r="364" spans="1:14" ht="14.45" customHeight="1" x14ac:dyDescent="0.2">
      <c r="A364" s="715" t="s">
        <v>518</v>
      </c>
      <c r="B364" s="716" t="s">
        <v>519</v>
      </c>
      <c r="C364" s="717" t="s">
        <v>531</v>
      </c>
      <c r="D364" s="718" t="s">
        <v>532</v>
      </c>
      <c r="E364" s="719">
        <v>50113001</v>
      </c>
      <c r="F364" s="718" t="s">
        <v>536</v>
      </c>
      <c r="G364" s="717" t="s">
        <v>537</v>
      </c>
      <c r="H364" s="717">
        <v>117679</v>
      </c>
      <c r="I364" s="717">
        <v>224840</v>
      </c>
      <c r="J364" s="717" t="s">
        <v>1157</v>
      </c>
      <c r="K364" s="717" t="s">
        <v>1158</v>
      </c>
      <c r="L364" s="720">
        <v>125.87999999999998</v>
      </c>
      <c r="M364" s="720">
        <v>1</v>
      </c>
      <c r="N364" s="721">
        <v>125.87999999999998</v>
      </c>
    </row>
    <row r="365" spans="1:14" ht="14.45" customHeight="1" x14ac:dyDescent="0.2">
      <c r="A365" s="715" t="s">
        <v>518</v>
      </c>
      <c r="B365" s="716" t="s">
        <v>519</v>
      </c>
      <c r="C365" s="717" t="s">
        <v>531</v>
      </c>
      <c r="D365" s="718" t="s">
        <v>532</v>
      </c>
      <c r="E365" s="719">
        <v>50113001</v>
      </c>
      <c r="F365" s="718" t="s">
        <v>536</v>
      </c>
      <c r="G365" s="717" t="s">
        <v>537</v>
      </c>
      <c r="H365" s="717">
        <v>144357</v>
      </c>
      <c r="I365" s="717">
        <v>44357</v>
      </c>
      <c r="J365" s="717" t="s">
        <v>1159</v>
      </c>
      <c r="K365" s="717" t="s">
        <v>1160</v>
      </c>
      <c r="L365" s="720">
        <v>3231.04</v>
      </c>
      <c r="M365" s="720">
        <v>2</v>
      </c>
      <c r="N365" s="721">
        <v>6462.08</v>
      </c>
    </row>
    <row r="366" spans="1:14" ht="14.45" customHeight="1" x14ac:dyDescent="0.2">
      <c r="A366" s="715" t="s">
        <v>518</v>
      </c>
      <c r="B366" s="716" t="s">
        <v>519</v>
      </c>
      <c r="C366" s="717" t="s">
        <v>531</v>
      </c>
      <c r="D366" s="718" t="s">
        <v>532</v>
      </c>
      <c r="E366" s="719">
        <v>50113001</v>
      </c>
      <c r="F366" s="718" t="s">
        <v>536</v>
      </c>
      <c r="G366" s="717" t="s">
        <v>520</v>
      </c>
      <c r="H366" s="717">
        <v>130805</v>
      </c>
      <c r="I366" s="717">
        <v>30805</v>
      </c>
      <c r="J366" s="717" t="s">
        <v>1161</v>
      </c>
      <c r="K366" s="717" t="s">
        <v>548</v>
      </c>
      <c r="L366" s="720">
        <v>118.79500000000002</v>
      </c>
      <c r="M366" s="720">
        <v>2</v>
      </c>
      <c r="N366" s="721">
        <v>237.59000000000003</v>
      </c>
    </row>
    <row r="367" spans="1:14" ht="14.45" customHeight="1" x14ac:dyDescent="0.2">
      <c r="A367" s="715" t="s">
        <v>518</v>
      </c>
      <c r="B367" s="716" t="s">
        <v>519</v>
      </c>
      <c r="C367" s="717" t="s">
        <v>531</v>
      </c>
      <c r="D367" s="718" t="s">
        <v>532</v>
      </c>
      <c r="E367" s="719">
        <v>50113001</v>
      </c>
      <c r="F367" s="718" t="s">
        <v>536</v>
      </c>
      <c r="G367" s="717" t="s">
        <v>537</v>
      </c>
      <c r="H367" s="717">
        <v>118304</v>
      </c>
      <c r="I367" s="717">
        <v>18304</v>
      </c>
      <c r="J367" s="717" t="s">
        <v>1162</v>
      </c>
      <c r="K367" s="717" t="s">
        <v>1163</v>
      </c>
      <c r="L367" s="720">
        <v>185.60999999999996</v>
      </c>
      <c r="M367" s="720">
        <v>206</v>
      </c>
      <c r="N367" s="721">
        <v>38235.659999999989</v>
      </c>
    </row>
    <row r="368" spans="1:14" ht="14.45" customHeight="1" x14ac:dyDescent="0.2">
      <c r="A368" s="715" t="s">
        <v>518</v>
      </c>
      <c r="B368" s="716" t="s">
        <v>519</v>
      </c>
      <c r="C368" s="717" t="s">
        <v>531</v>
      </c>
      <c r="D368" s="718" t="s">
        <v>532</v>
      </c>
      <c r="E368" s="719">
        <v>50113001</v>
      </c>
      <c r="F368" s="718" t="s">
        <v>536</v>
      </c>
      <c r="G368" s="717" t="s">
        <v>537</v>
      </c>
      <c r="H368" s="717">
        <v>118305</v>
      </c>
      <c r="I368" s="717">
        <v>18305</v>
      </c>
      <c r="J368" s="717" t="s">
        <v>1162</v>
      </c>
      <c r="K368" s="717" t="s">
        <v>1164</v>
      </c>
      <c r="L368" s="720">
        <v>242</v>
      </c>
      <c r="M368" s="720">
        <v>199</v>
      </c>
      <c r="N368" s="721">
        <v>48158</v>
      </c>
    </row>
    <row r="369" spans="1:14" ht="14.45" customHeight="1" x14ac:dyDescent="0.2">
      <c r="A369" s="715" t="s">
        <v>518</v>
      </c>
      <c r="B369" s="716" t="s">
        <v>519</v>
      </c>
      <c r="C369" s="717" t="s">
        <v>531</v>
      </c>
      <c r="D369" s="718" t="s">
        <v>532</v>
      </c>
      <c r="E369" s="719">
        <v>50113001</v>
      </c>
      <c r="F369" s="718" t="s">
        <v>536</v>
      </c>
      <c r="G369" s="717" t="s">
        <v>537</v>
      </c>
      <c r="H369" s="717">
        <v>159357</v>
      </c>
      <c r="I369" s="717">
        <v>59357</v>
      </c>
      <c r="J369" s="717" t="s">
        <v>1165</v>
      </c>
      <c r="K369" s="717" t="s">
        <v>1166</v>
      </c>
      <c r="L369" s="720">
        <v>188.88000000000002</v>
      </c>
      <c r="M369" s="720">
        <v>14</v>
      </c>
      <c r="N369" s="721">
        <v>2644.32</v>
      </c>
    </row>
    <row r="370" spans="1:14" ht="14.45" customHeight="1" x14ac:dyDescent="0.2">
      <c r="A370" s="715" t="s">
        <v>518</v>
      </c>
      <c r="B370" s="716" t="s">
        <v>519</v>
      </c>
      <c r="C370" s="717" t="s">
        <v>531</v>
      </c>
      <c r="D370" s="718" t="s">
        <v>532</v>
      </c>
      <c r="E370" s="719">
        <v>50113001</v>
      </c>
      <c r="F370" s="718" t="s">
        <v>536</v>
      </c>
      <c r="G370" s="717" t="s">
        <v>537</v>
      </c>
      <c r="H370" s="717">
        <v>159358</v>
      </c>
      <c r="I370" s="717">
        <v>59358</v>
      </c>
      <c r="J370" s="717" t="s">
        <v>1165</v>
      </c>
      <c r="K370" s="717" t="s">
        <v>1167</v>
      </c>
      <c r="L370" s="720">
        <v>336.27</v>
      </c>
      <c r="M370" s="720">
        <v>5</v>
      </c>
      <c r="N370" s="721">
        <v>1681.35</v>
      </c>
    </row>
    <row r="371" spans="1:14" ht="14.45" customHeight="1" x14ac:dyDescent="0.2">
      <c r="A371" s="715" t="s">
        <v>518</v>
      </c>
      <c r="B371" s="716" t="s">
        <v>519</v>
      </c>
      <c r="C371" s="717" t="s">
        <v>531</v>
      </c>
      <c r="D371" s="718" t="s">
        <v>532</v>
      </c>
      <c r="E371" s="719">
        <v>50113001</v>
      </c>
      <c r="F371" s="718" t="s">
        <v>536</v>
      </c>
      <c r="G371" s="717" t="s">
        <v>537</v>
      </c>
      <c r="H371" s="717">
        <v>114989</v>
      </c>
      <c r="I371" s="717">
        <v>14989</v>
      </c>
      <c r="J371" s="717" t="s">
        <v>1168</v>
      </c>
      <c r="K371" s="717" t="s">
        <v>1169</v>
      </c>
      <c r="L371" s="720">
        <v>86.376000000000005</v>
      </c>
      <c r="M371" s="720">
        <v>5</v>
      </c>
      <c r="N371" s="721">
        <v>431.88</v>
      </c>
    </row>
    <row r="372" spans="1:14" ht="14.45" customHeight="1" x14ac:dyDescent="0.2">
      <c r="A372" s="715" t="s">
        <v>518</v>
      </c>
      <c r="B372" s="716" t="s">
        <v>519</v>
      </c>
      <c r="C372" s="717" t="s">
        <v>531</v>
      </c>
      <c r="D372" s="718" t="s">
        <v>532</v>
      </c>
      <c r="E372" s="719">
        <v>50113001</v>
      </c>
      <c r="F372" s="718" t="s">
        <v>536</v>
      </c>
      <c r="G372" s="717" t="s">
        <v>537</v>
      </c>
      <c r="H372" s="717">
        <v>114957</v>
      </c>
      <c r="I372" s="717">
        <v>14957</v>
      </c>
      <c r="J372" s="717" t="s">
        <v>1170</v>
      </c>
      <c r="K372" s="717" t="s">
        <v>1171</v>
      </c>
      <c r="L372" s="720">
        <v>40.069995547639756</v>
      </c>
      <c r="M372" s="720">
        <v>1</v>
      </c>
      <c r="N372" s="721">
        <v>40.069995547639756</v>
      </c>
    </row>
    <row r="373" spans="1:14" ht="14.45" customHeight="1" x14ac:dyDescent="0.2">
      <c r="A373" s="715" t="s">
        <v>518</v>
      </c>
      <c r="B373" s="716" t="s">
        <v>519</v>
      </c>
      <c r="C373" s="717" t="s">
        <v>531</v>
      </c>
      <c r="D373" s="718" t="s">
        <v>532</v>
      </c>
      <c r="E373" s="719">
        <v>50113001</v>
      </c>
      <c r="F373" s="718" t="s">
        <v>536</v>
      </c>
      <c r="G373" s="717" t="s">
        <v>537</v>
      </c>
      <c r="H373" s="717">
        <v>114958</v>
      </c>
      <c r="I373" s="717">
        <v>14958</v>
      </c>
      <c r="J373" s="717" t="s">
        <v>1172</v>
      </c>
      <c r="K373" s="717" t="s">
        <v>1173</v>
      </c>
      <c r="L373" s="720">
        <v>32.879999999999995</v>
      </c>
      <c r="M373" s="720">
        <v>1</v>
      </c>
      <c r="N373" s="721">
        <v>32.879999999999995</v>
      </c>
    </row>
    <row r="374" spans="1:14" ht="14.45" customHeight="1" x14ac:dyDescent="0.2">
      <c r="A374" s="715" t="s">
        <v>518</v>
      </c>
      <c r="B374" s="716" t="s">
        <v>519</v>
      </c>
      <c r="C374" s="717" t="s">
        <v>531</v>
      </c>
      <c r="D374" s="718" t="s">
        <v>532</v>
      </c>
      <c r="E374" s="719">
        <v>50113001</v>
      </c>
      <c r="F374" s="718" t="s">
        <v>536</v>
      </c>
      <c r="G374" s="717" t="s">
        <v>537</v>
      </c>
      <c r="H374" s="717">
        <v>185256</v>
      </c>
      <c r="I374" s="717">
        <v>85256</v>
      </c>
      <c r="J374" s="717" t="s">
        <v>1174</v>
      </c>
      <c r="K374" s="717" t="s">
        <v>1175</v>
      </c>
      <c r="L374" s="720">
        <v>29.450000000000006</v>
      </c>
      <c r="M374" s="720">
        <v>1</v>
      </c>
      <c r="N374" s="721">
        <v>29.450000000000006</v>
      </c>
    </row>
    <row r="375" spans="1:14" ht="14.45" customHeight="1" x14ac:dyDescent="0.2">
      <c r="A375" s="715" t="s">
        <v>518</v>
      </c>
      <c r="B375" s="716" t="s">
        <v>519</v>
      </c>
      <c r="C375" s="717" t="s">
        <v>531</v>
      </c>
      <c r="D375" s="718" t="s">
        <v>532</v>
      </c>
      <c r="E375" s="719">
        <v>50113001</v>
      </c>
      <c r="F375" s="718" t="s">
        <v>536</v>
      </c>
      <c r="G375" s="717" t="s">
        <v>537</v>
      </c>
      <c r="H375" s="717">
        <v>114937</v>
      </c>
      <c r="I375" s="717">
        <v>14937</v>
      </c>
      <c r="J375" s="717" t="s">
        <v>1176</v>
      </c>
      <c r="K375" s="717" t="s">
        <v>1177</v>
      </c>
      <c r="L375" s="720">
        <v>79.590000000000018</v>
      </c>
      <c r="M375" s="720">
        <v>1</v>
      </c>
      <c r="N375" s="721">
        <v>79.590000000000018</v>
      </c>
    </row>
    <row r="376" spans="1:14" ht="14.45" customHeight="1" x14ac:dyDescent="0.2">
      <c r="A376" s="715" t="s">
        <v>518</v>
      </c>
      <c r="B376" s="716" t="s">
        <v>519</v>
      </c>
      <c r="C376" s="717" t="s">
        <v>531</v>
      </c>
      <c r="D376" s="718" t="s">
        <v>532</v>
      </c>
      <c r="E376" s="719">
        <v>50113001</v>
      </c>
      <c r="F376" s="718" t="s">
        <v>536</v>
      </c>
      <c r="G376" s="717" t="s">
        <v>537</v>
      </c>
      <c r="H376" s="717">
        <v>849972</v>
      </c>
      <c r="I376" s="717">
        <v>107758</v>
      </c>
      <c r="J376" s="717" t="s">
        <v>1178</v>
      </c>
      <c r="K376" s="717" t="s">
        <v>1179</v>
      </c>
      <c r="L376" s="720">
        <v>252.25</v>
      </c>
      <c r="M376" s="720">
        <v>1</v>
      </c>
      <c r="N376" s="721">
        <v>252.25</v>
      </c>
    </row>
    <row r="377" spans="1:14" ht="14.45" customHeight="1" x14ac:dyDescent="0.2">
      <c r="A377" s="715" t="s">
        <v>518</v>
      </c>
      <c r="B377" s="716" t="s">
        <v>519</v>
      </c>
      <c r="C377" s="717" t="s">
        <v>531</v>
      </c>
      <c r="D377" s="718" t="s">
        <v>532</v>
      </c>
      <c r="E377" s="719">
        <v>50113001</v>
      </c>
      <c r="F377" s="718" t="s">
        <v>536</v>
      </c>
      <c r="G377" s="717" t="s">
        <v>537</v>
      </c>
      <c r="H377" s="717">
        <v>127150</v>
      </c>
      <c r="I377" s="717">
        <v>127150</v>
      </c>
      <c r="J377" s="717" t="s">
        <v>1180</v>
      </c>
      <c r="K377" s="717" t="s">
        <v>1181</v>
      </c>
      <c r="L377" s="720">
        <v>630.49</v>
      </c>
      <c r="M377" s="720">
        <v>1</v>
      </c>
      <c r="N377" s="721">
        <v>630.49</v>
      </c>
    </row>
    <row r="378" spans="1:14" ht="14.45" customHeight="1" x14ac:dyDescent="0.2">
      <c r="A378" s="715" t="s">
        <v>518</v>
      </c>
      <c r="B378" s="716" t="s">
        <v>519</v>
      </c>
      <c r="C378" s="717" t="s">
        <v>531</v>
      </c>
      <c r="D378" s="718" t="s">
        <v>532</v>
      </c>
      <c r="E378" s="719">
        <v>50113001</v>
      </c>
      <c r="F378" s="718" t="s">
        <v>536</v>
      </c>
      <c r="G378" s="717" t="s">
        <v>552</v>
      </c>
      <c r="H378" s="717">
        <v>215906</v>
      </c>
      <c r="I378" s="717">
        <v>215906</v>
      </c>
      <c r="J378" s="717" t="s">
        <v>1182</v>
      </c>
      <c r="K378" s="717" t="s">
        <v>1183</v>
      </c>
      <c r="L378" s="720">
        <v>252.70999999999995</v>
      </c>
      <c r="M378" s="720">
        <v>1</v>
      </c>
      <c r="N378" s="721">
        <v>252.70999999999995</v>
      </c>
    </row>
    <row r="379" spans="1:14" ht="14.45" customHeight="1" x14ac:dyDescent="0.2">
      <c r="A379" s="715" t="s">
        <v>518</v>
      </c>
      <c r="B379" s="716" t="s">
        <v>519</v>
      </c>
      <c r="C379" s="717" t="s">
        <v>531</v>
      </c>
      <c r="D379" s="718" t="s">
        <v>532</v>
      </c>
      <c r="E379" s="719">
        <v>50113001</v>
      </c>
      <c r="F379" s="718" t="s">
        <v>536</v>
      </c>
      <c r="G379" s="717" t="s">
        <v>552</v>
      </c>
      <c r="H379" s="717">
        <v>215909</v>
      </c>
      <c r="I379" s="717">
        <v>215909</v>
      </c>
      <c r="J379" s="717" t="s">
        <v>1184</v>
      </c>
      <c r="K379" s="717" t="s">
        <v>1185</v>
      </c>
      <c r="L379" s="720">
        <v>500.32000000000011</v>
      </c>
      <c r="M379" s="720">
        <v>1</v>
      </c>
      <c r="N379" s="721">
        <v>500.32000000000011</v>
      </c>
    </row>
    <row r="380" spans="1:14" ht="14.45" customHeight="1" x14ac:dyDescent="0.2">
      <c r="A380" s="715" t="s">
        <v>518</v>
      </c>
      <c r="B380" s="716" t="s">
        <v>519</v>
      </c>
      <c r="C380" s="717" t="s">
        <v>531</v>
      </c>
      <c r="D380" s="718" t="s">
        <v>532</v>
      </c>
      <c r="E380" s="719">
        <v>50113001</v>
      </c>
      <c r="F380" s="718" t="s">
        <v>536</v>
      </c>
      <c r="G380" s="717" t="s">
        <v>552</v>
      </c>
      <c r="H380" s="717">
        <v>115245</v>
      </c>
      <c r="I380" s="717">
        <v>15245</v>
      </c>
      <c r="J380" s="717" t="s">
        <v>1186</v>
      </c>
      <c r="K380" s="717" t="s">
        <v>1187</v>
      </c>
      <c r="L380" s="720">
        <v>1385.1172946859904</v>
      </c>
      <c r="M380" s="720">
        <v>207</v>
      </c>
      <c r="N380" s="721">
        <v>286719.28000000003</v>
      </c>
    </row>
    <row r="381" spans="1:14" ht="14.45" customHeight="1" x14ac:dyDescent="0.2">
      <c r="A381" s="715" t="s">
        <v>518</v>
      </c>
      <c r="B381" s="716" t="s">
        <v>519</v>
      </c>
      <c r="C381" s="717" t="s">
        <v>531</v>
      </c>
      <c r="D381" s="718" t="s">
        <v>532</v>
      </c>
      <c r="E381" s="719">
        <v>50113001</v>
      </c>
      <c r="F381" s="718" t="s">
        <v>536</v>
      </c>
      <c r="G381" s="717" t="s">
        <v>537</v>
      </c>
      <c r="H381" s="717">
        <v>208646</v>
      </c>
      <c r="I381" s="717">
        <v>208646</v>
      </c>
      <c r="J381" s="717" t="s">
        <v>1188</v>
      </c>
      <c r="K381" s="717" t="s">
        <v>1189</v>
      </c>
      <c r="L381" s="720">
        <v>68.349999999999994</v>
      </c>
      <c r="M381" s="720">
        <v>5</v>
      </c>
      <c r="N381" s="721">
        <v>341.74999999999994</v>
      </c>
    </row>
    <row r="382" spans="1:14" ht="14.45" customHeight="1" x14ac:dyDescent="0.2">
      <c r="A382" s="715" t="s">
        <v>518</v>
      </c>
      <c r="B382" s="716" t="s">
        <v>519</v>
      </c>
      <c r="C382" s="717" t="s">
        <v>531</v>
      </c>
      <c r="D382" s="718" t="s">
        <v>532</v>
      </c>
      <c r="E382" s="719">
        <v>50113001</v>
      </c>
      <c r="F382" s="718" t="s">
        <v>536</v>
      </c>
      <c r="G382" s="717" t="s">
        <v>537</v>
      </c>
      <c r="H382" s="717">
        <v>180058</v>
      </c>
      <c r="I382" s="717">
        <v>80058</v>
      </c>
      <c r="J382" s="717" t="s">
        <v>1190</v>
      </c>
      <c r="K382" s="717" t="s">
        <v>1191</v>
      </c>
      <c r="L382" s="720">
        <v>123.40999999999998</v>
      </c>
      <c r="M382" s="720">
        <v>1</v>
      </c>
      <c r="N382" s="721">
        <v>123.40999999999998</v>
      </c>
    </row>
    <row r="383" spans="1:14" ht="14.45" customHeight="1" x14ac:dyDescent="0.2">
      <c r="A383" s="715" t="s">
        <v>518</v>
      </c>
      <c r="B383" s="716" t="s">
        <v>519</v>
      </c>
      <c r="C383" s="717" t="s">
        <v>531</v>
      </c>
      <c r="D383" s="718" t="s">
        <v>532</v>
      </c>
      <c r="E383" s="719">
        <v>50113001</v>
      </c>
      <c r="F383" s="718" t="s">
        <v>536</v>
      </c>
      <c r="G383" s="717" t="s">
        <v>537</v>
      </c>
      <c r="H383" s="717">
        <v>172564</v>
      </c>
      <c r="I383" s="717">
        <v>72564</v>
      </c>
      <c r="J383" s="717" t="s">
        <v>1192</v>
      </c>
      <c r="K383" s="717" t="s">
        <v>1193</v>
      </c>
      <c r="L383" s="720">
        <v>473.17641304347819</v>
      </c>
      <c r="M383" s="720">
        <v>92</v>
      </c>
      <c r="N383" s="721">
        <v>43532.229999999996</v>
      </c>
    </row>
    <row r="384" spans="1:14" ht="14.45" customHeight="1" x14ac:dyDescent="0.2">
      <c r="A384" s="715" t="s">
        <v>518</v>
      </c>
      <c r="B384" s="716" t="s">
        <v>519</v>
      </c>
      <c r="C384" s="717" t="s">
        <v>531</v>
      </c>
      <c r="D384" s="718" t="s">
        <v>532</v>
      </c>
      <c r="E384" s="719">
        <v>50113001</v>
      </c>
      <c r="F384" s="718" t="s">
        <v>536</v>
      </c>
      <c r="G384" s="717" t="s">
        <v>537</v>
      </c>
      <c r="H384" s="717">
        <v>145560</v>
      </c>
      <c r="I384" s="717">
        <v>45560</v>
      </c>
      <c r="J384" s="717" t="s">
        <v>1194</v>
      </c>
      <c r="K384" s="717" t="s">
        <v>1195</v>
      </c>
      <c r="L384" s="720">
        <v>133.88</v>
      </c>
      <c r="M384" s="720">
        <v>1</v>
      </c>
      <c r="N384" s="721">
        <v>133.88</v>
      </c>
    </row>
    <row r="385" spans="1:14" ht="14.45" customHeight="1" x14ac:dyDescent="0.2">
      <c r="A385" s="715" t="s">
        <v>518</v>
      </c>
      <c r="B385" s="716" t="s">
        <v>519</v>
      </c>
      <c r="C385" s="717" t="s">
        <v>531</v>
      </c>
      <c r="D385" s="718" t="s">
        <v>532</v>
      </c>
      <c r="E385" s="719">
        <v>50113001</v>
      </c>
      <c r="F385" s="718" t="s">
        <v>536</v>
      </c>
      <c r="G385" s="717" t="s">
        <v>552</v>
      </c>
      <c r="H385" s="717">
        <v>195941</v>
      </c>
      <c r="I385" s="717">
        <v>195941</v>
      </c>
      <c r="J385" s="717" t="s">
        <v>1196</v>
      </c>
      <c r="K385" s="717" t="s">
        <v>1197</v>
      </c>
      <c r="L385" s="720">
        <v>329.11</v>
      </c>
      <c r="M385" s="720">
        <v>1</v>
      </c>
      <c r="N385" s="721">
        <v>329.11</v>
      </c>
    </row>
    <row r="386" spans="1:14" ht="14.45" customHeight="1" x14ac:dyDescent="0.2">
      <c r="A386" s="715" t="s">
        <v>518</v>
      </c>
      <c r="B386" s="716" t="s">
        <v>519</v>
      </c>
      <c r="C386" s="717" t="s">
        <v>531</v>
      </c>
      <c r="D386" s="718" t="s">
        <v>532</v>
      </c>
      <c r="E386" s="719">
        <v>50113001</v>
      </c>
      <c r="F386" s="718" t="s">
        <v>536</v>
      </c>
      <c r="G386" s="717" t="s">
        <v>552</v>
      </c>
      <c r="H386" s="717">
        <v>127280</v>
      </c>
      <c r="I386" s="717">
        <v>127280</v>
      </c>
      <c r="J386" s="717" t="s">
        <v>1198</v>
      </c>
      <c r="K386" s="717" t="s">
        <v>1199</v>
      </c>
      <c r="L386" s="720">
        <v>2242.4299999999998</v>
      </c>
      <c r="M386" s="720">
        <v>1</v>
      </c>
      <c r="N386" s="721">
        <v>2242.4299999999998</v>
      </c>
    </row>
    <row r="387" spans="1:14" ht="14.45" customHeight="1" x14ac:dyDescent="0.2">
      <c r="A387" s="715" t="s">
        <v>518</v>
      </c>
      <c r="B387" s="716" t="s">
        <v>519</v>
      </c>
      <c r="C387" s="717" t="s">
        <v>531</v>
      </c>
      <c r="D387" s="718" t="s">
        <v>532</v>
      </c>
      <c r="E387" s="719">
        <v>50113001</v>
      </c>
      <c r="F387" s="718" t="s">
        <v>536</v>
      </c>
      <c r="G387" s="717" t="s">
        <v>552</v>
      </c>
      <c r="H387" s="717">
        <v>191922</v>
      </c>
      <c r="I387" s="717">
        <v>191922</v>
      </c>
      <c r="J387" s="717" t="s">
        <v>1200</v>
      </c>
      <c r="K387" s="717" t="s">
        <v>1201</v>
      </c>
      <c r="L387" s="720">
        <v>70.39</v>
      </c>
      <c r="M387" s="720">
        <v>2</v>
      </c>
      <c r="N387" s="721">
        <v>140.78</v>
      </c>
    </row>
    <row r="388" spans="1:14" ht="14.45" customHeight="1" x14ac:dyDescent="0.2">
      <c r="A388" s="715" t="s">
        <v>518</v>
      </c>
      <c r="B388" s="716" t="s">
        <v>519</v>
      </c>
      <c r="C388" s="717" t="s">
        <v>531</v>
      </c>
      <c r="D388" s="718" t="s">
        <v>532</v>
      </c>
      <c r="E388" s="719">
        <v>50113001</v>
      </c>
      <c r="F388" s="718" t="s">
        <v>536</v>
      </c>
      <c r="G388" s="717" t="s">
        <v>552</v>
      </c>
      <c r="H388" s="717">
        <v>144324</v>
      </c>
      <c r="I388" s="717">
        <v>44324</v>
      </c>
      <c r="J388" s="717" t="s">
        <v>1202</v>
      </c>
      <c r="K388" s="717" t="s">
        <v>1203</v>
      </c>
      <c r="L388" s="720">
        <v>1291.95</v>
      </c>
      <c r="M388" s="720">
        <v>1</v>
      </c>
      <c r="N388" s="721">
        <v>1291.95</v>
      </c>
    </row>
    <row r="389" spans="1:14" ht="14.45" customHeight="1" x14ac:dyDescent="0.2">
      <c r="A389" s="715" t="s">
        <v>518</v>
      </c>
      <c r="B389" s="716" t="s">
        <v>519</v>
      </c>
      <c r="C389" s="717" t="s">
        <v>531</v>
      </c>
      <c r="D389" s="718" t="s">
        <v>532</v>
      </c>
      <c r="E389" s="719">
        <v>50113001</v>
      </c>
      <c r="F389" s="718" t="s">
        <v>536</v>
      </c>
      <c r="G389" s="717" t="s">
        <v>552</v>
      </c>
      <c r="H389" s="717">
        <v>109709</v>
      </c>
      <c r="I389" s="717">
        <v>9709</v>
      </c>
      <c r="J389" s="717" t="s">
        <v>1204</v>
      </c>
      <c r="K389" s="717" t="s">
        <v>1205</v>
      </c>
      <c r="L389" s="720">
        <v>64.946956521739125</v>
      </c>
      <c r="M389" s="720">
        <v>23</v>
      </c>
      <c r="N389" s="721">
        <v>1493.7799999999997</v>
      </c>
    </row>
    <row r="390" spans="1:14" ht="14.45" customHeight="1" x14ac:dyDescent="0.2">
      <c r="A390" s="715" t="s">
        <v>518</v>
      </c>
      <c r="B390" s="716" t="s">
        <v>519</v>
      </c>
      <c r="C390" s="717" t="s">
        <v>531</v>
      </c>
      <c r="D390" s="718" t="s">
        <v>532</v>
      </c>
      <c r="E390" s="719">
        <v>50113001</v>
      </c>
      <c r="F390" s="718" t="s">
        <v>536</v>
      </c>
      <c r="G390" s="717" t="s">
        <v>552</v>
      </c>
      <c r="H390" s="717">
        <v>109712</v>
      </c>
      <c r="I390" s="717">
        <v>9712</v>
      </c>
      <c r="J390" s="717" t="s">
        <v>1204</v>
      </c>
      <c r="K390" s="717" t="s">
        <v>1206</v>
      </c>
      <c r="L390" s="720">
        <v>304.60000000000002</v>
      </c>
      <c r="M390" s="720">
        <v>4</v>
      </c>
      <c r="N390" s="721">
        <v>1218.4000000000001</v>
      </c>
    </row>
    <row r="391" spans="1:14" ht="14.45" customHeight="1" x14ac:dyDescent="0.2">
      <c r="A391" s="715" t="s">
        <v>518</v>
      </c>
      <c r="B391" s="716" t="s">
        <v>519</v>
      </c>
      <c r="C391" s="717" t="s">
        <v>531</v>
      </c>
      <c r="D391" s="718" t="s">
        <v>532</v>
      </c>
      <c r="E391" s="719">
        <v>50113001</v>
      </c>
      <c r="F391" s="718" t="s">
        <v>536</v>
      </c>
      <c r="G391" s="717" t="s">
        <v>537</v>
      </c>
      <c r="H391" s="717">
        <v>194852</v>
      </c>
      <c r="I391" s="717">
        <v>94852</v>
      </c>
      <c r="J391" s="717" t="s">
        <v>1207</v>
      </c>
      <c r="K391" s="717" t="s">
        <v>1208</v>
      </c>
      <c r="L391" s="720">
        <v>1034.0759770114942</v>
      </c>
      <c r="M391" s="720">
        <v>87</v>
      </c>
      <c r="N391" s="721">
        <v>89964.61</v>
      </c>
    </row>
    <row r="392" spans="1:14" ht="14.45" customHeight="1" x14ac:dyDescent="0.2">
      <c r="A392" s="715" t="s">
        <v>518</v>
      </c>
      <c r="B392" s="716" t="s">
        <v>519</v>
      </c>
      <c r="C392" s="717" t="s">
        <v>531</v>
      </c>
      <c r="D392" s="718" t="s">
        <v>532</v>
      </c>
      <c r="E392" s="719">
        <v>50113001</v>
      </c>
      <c r="F392" s="718" t="s">
        <v>536</v>
      </c>
      <c r="G392" s="717" t="s">
        <v>537</v>
      </c>
      <c r="H392" s="717">
        <v>848866</v>
      </c>
      <c r="I392" s="717">
        <v>119654</v>
      </c>
      <c r="J392" s="717" t="s">
        <v>1209</v>
      </c>
      <c r="K392" s="717" t="s">
        <v>1210</v>
      </c>
      <c r="L392" s="720">
        <v>255.09999999999994</v>
      </c>
      <c r="M392" s="720">
        <v>1</v>
      </c>
      <c r="N392" s="721">
        <v>255.09999999999994</v>
      </c>
    </row>
    <row r="393" spans="1:14" ht="14.45" customHeight="1" x14ac:dyDescent="0.2">
      <c r="A393" s="715" t="s">
        <v>518</v>
      </c>
      <c r="B393" s="716" t="s">
        <v>519</v>
      </c>
      <c r="C393" s="717" t="s">
        <v>531</v>
      </c>
      <c r="D393" s="718" t="s">
        <v>532</v>
      </c>
      <c r="E393" s="719">
        <v>50113001</v>
      </c>
      <c r="F393" s="718" t="s">
        <v>536</v>
      </c>
      <c r="G393" s="717" t="s">
        <v>520</v>
      </c>
      <c r="H393" s="717">
        <v>193013</v>
      </c>
      <c r="I393" s="717">
        <v>93013</v>
      </c>
      <c r="J393" s="717" t="s">
        <v>1211</v>
      </c>
      <c r="K393" s="717" t="s">
        <v>1212</v>
      </c>
      <c r="L393" s="720">
        <v>34.690000000000005</v>
      </c>
      <c r="M393" s="720">
        <v>1</v>
      </c>
      <c r="N393" s="721">
        <v>34.690000000000005</v>
      </c>
    </row>
    <row r="394" spans="1:14" ht="14.45" customHeight="1" x14ac:dyDescent="0.2">
      <c r="A394" s="715" t="s">
        <v>518</v>
      </c>
      <c r="B394" s="716" t="s">
        <v>519</v>
      </c>
      <c r="C394" s="717" t="s">
        <v>531</v>
      </c>
      <c r="D394" s="718" t="s">
        <v>532</v>
      </c>
      <c r="E394" s="719">
        <v>50113001</v>
      </c>
      <c r="F394" s="718" t="s">
        <v>536</v>
      </c>
      <c r="G394" s="717" t="s">
        <v>520</v>
      </c>
      <c r="H394" s="717">
        <v>185526</v>
      </c>
      <c r="I394" s="717">
        <v>85526</v>
      </c>
      <c r="J394" s="717" t="s">
        <v>1213</v>
      </c>
      <c r="K394" s="717" t="s">
        <v>1214</v>
      </c>
      <c r="L394" s="720">
        <v>143.99544303797467</v>
      </c>
      <c r="M394" s="720">
        <v>79</v>
      </c>
      <c r="N394" s="721">
        <v>11375.64</v>
      </c>
    </row>
    <row r="395" spans="1:14" ht="14.45" customHeight="1" x14ac:dyDescent="0.2">
      <c r="A395" s="715" t="s">
        <v>518</v>
      </c>
      <c r="B395" s="716" t="s">
        <v>519</v>
      </c>
      <c r="C395" s="717" t="s">
        <v>531</v>
      </c>
      <c r="D395" s="718" t="s">
        <v>532</v>
      </c>
      <c r="E395" s="719">
        <v>50113001</v>
      </c>
      <c r="F395" s="718" t="s">
        <v>536</v>
      </c>
      <c r="G395" s="717" t="s">
        <v>537</v>
      </c>
      <c r="H395" s="717">
        <v>234685</v>
      </c>
      <c r="I395" s="717">
        <v>234685</v>
      </c>
      <c r="J395" s="717" t="s">
        <v>1213</v>
      </c>
      <c r="K395" s="717" t="s">
        <v>1214</v>
      </c>
      <c r="L395" s="720">
        <v>144.35047619047617</v>
      </c>
      <c r="M395" s="720">
        <v>84</v>
      </c>
      <c r="N395" s="721">
        <v>12125.439999999999</v>
      </c>
    </row>
    <row r="396" spans="1:14" ht="14.45" customHeight="1" x14ac:dyDescent="0.2">
      <c r="A396" s="715" t="s">
        <v>518</v>
      </c>
      <c r="B396" s="716" t="s">
        <v>519</v>
      </c>
      <c r="C396" s="717" t="s">
        <v>531</v>
      </c>
      <c r="D396" s="718" t="s">
        <v>532</v>
      </c>
      <c r="E396" s="719">
        <v>50113001</v>
      </c>
      <c r="F396" s="718" t="s">
        <v>536</v>
      </c>
      <c r="G396" s="717" t="s">
        <v>552</v>
      </c>
      <c r="H396" s="717">
        <v>121088</v>
      </c>
      <c r="I396" s="717">
        <v>21088</v>
      </c>
      <c r="J396" s="717" t="s">
        <v>1215</v>
      </c>
      <c r="K396" s="717" t="s">
        <v>1216</v>
      </c>
      <c r="L396" s="720">
        <v>685.4955555555556</v>
      </c>
      <c r="M396" s="720">
        <v>135</v>
      </c>
      <c r="N396" s="721">
        <v>92541.900000000009</v>
      </c>
    </row>
    <row r="397" spans="1:14" ht="14.45" customHeight="1" x14ac:dyDescent="0.2">
      <c r="A397" s="715" t="s">
        <v>518</v>
      </c>
      <c r="B397" s="716" t="s">
        <v>519</v>
      </c>
      <c r="C397" s="717" t="s">
        <v>531</v>
      </c>
      <c r="D397" s="718" t="s">
        <v>532</v>
      </c>
      <c r="E397" s="719">
        <v>50113001</v>
      </c>
      <c r="F397" s="718" t="s">
        <v>536</v>
      </c>
      <c r="G397" s="717" t="s">
        <v>537</v>
      </c>
      <c r="H397" s="717">
        <v>230918</v>
      </c>
      <c r="I397" s="717">
        <v>230918</v>
      </c>
      <c r="J397" s="717" t="s">
        <v>1217</v>
      </c>
      <c r="K397" s="717" t="s">
        <v>1218</v>
      </c>
      <c r="L397" s="720">
        <v>147.62</v>
      </c>
      <c r="M397" s="720">
        <v>40</v>
      </c>
      <c r="N397" s="721">
        <v>5904.8</v>
      </c>
    </row>
    <row r="398" spans="1:14" ht="14.45" customHeight="1" x14ac:dyDescent="0.2">
      <c r="A398" s="715" t="s">
        <v>518</v>
      </c>
      <c r="B398" s="716" t="s">
        <v>519</v>
      </c>
      <c r="C398" s="717" t="s">
        <v>531</v>
      </c>
      <c r="D398" s="718" t="s">
        <v>532</v>
      </c>
      <c r="E398" s="719">
        <v>50113001</v>
      </c>
      <c r="F398" s="718" t="s">
        <v>536</v>
      </c>
      <c r="G398" s="717" t="s">
        <v>552</v>
      </c>
      <c r="H398" s="717">
        <v>130779</v>
      </c>
      <c r="I398" s="717">
        <v>30779</v>
      </c>
      <c r="J398" s="717" t="s">
        <v>1217</v>
      </c>
      <c r="K398" s="717" t="s">
        <v>1219</v>
      </c>
      <c r="L398" s="720">
        <v>147.62</v>
      </c>
      <c r="M398" s="720">
        <v>60</v>
      </c>
      <c r="N398" s="721">
        <v>8857.2000000000007</v>
      </c>
    </row>
    <row r="399" spans="1:14" ht="14.45" customHeight="1" x14ac:dyDescent="0.2">
      <c r="A399" s="715" t="s">
        <v>518</v>
      </c>
      <c r="B399" s="716" t="s">
        <v>519</v>
      </c>
      <c r="C399" s="717" t="s">
        <v>531</v>
      </c>
      <c r="D399" s="718" t="s">
        <v>532</v>
      </c>
      <c r="E399" s="719">
        <v>50113001</v>
      </c>
      <c r="F399" s="718" t="s">
        <v>536</v>
      </c>
      <c r="G399" s="717" t="s">
        <v>537</v>
      </c>
      <c r="H399" s="717">
        <v>234945</v>
      </c>
      <c r="I399" s="717">
        <v>234945</v>
      </c>
      <c r="J399" s="717" t="s">
        <v>1220</v>
      </c>
      <c r="K399" s="717" t="s">
        <v>1221</v>
      </c>
      <c r="L399" s="720">
        <v>44.899999999999991</v>
      </c>
      <c r="M399" s="720">
        <v>4</v>
      </c>
      <c r="N399" s="721">
        <v>179.59999999999997</v>
      </c>
    </row>
    <row r="400" spans="1:14" ht="14.45" customHeight="1" x14ac:dyDescent="0.2">
      <c r="A400" s="715" t="s">
        <v>518</v>
      </c>
      <c r="B400" s="716" t="s">
        <v>519</v>
      </c>
      <c r="C400" s="717" t="s">
        <v>531</v>
      </c>
      <c r="D400" s="718" t="s">
        <v>532</v>
      </c>
      <c r="E400" s="719">
        <v>50113001</v>
      </c>
      <c r="F400" s="718" t="s">
        <v>536</v>
      </c>
      <c r="G400" s="717" t="s">
        <v>537</v>
      </c>
      <c r="H400" s="717">
        <v>988179</v>
      </c>
      <c r="I400" s="717">
        <v>0</v>
      </c>
      <c r="J400" s="717" t="s">
        <v>1222</v>
      </c>
      <c r="K400" s="717" t="s">
        <v>520</v>
      </c>
      <c r="L400" s="720">
        <v>87.44</v>
      </c>
      <c r="M400" s="720">
        <v>9</v>
      </c>
      <c r="N400" s="721">
        <v>786.96</v>
      </c>
    </row>
    <row r="401" spans="1:14" ht="14.45" customHeight="1" x14ac:dyDescent="0.2">
      <c r="A401" s="715" t="s">
        <v>518</v>
      </c>
      <c r="B401" s="716" t="s">
        <v>519</v>
      </c>
      <c r="C401" s="717" t="s">
        <v>531</v>
      </c>
      <c r="D401" s="718" t="s">
        <v>532</v>
      </c>
      <c r="E401" s="719">
        <v>50113001</v>
      </c>
      <c r="F401" s="718" t="s">
        <v>536</v>
      </c>
      <c r="G401" s="717" t="s">
        <v>537</v>
      </c>
      <c r="H401" s="717">
        <v>225261</v>
      </c>
      <c r="I401" s="717">
        <v>225261</v>
      </c>
      <c r="J401" s="717" t="s">
        <v>1223</v>
      </c>
      <c r="K401" s="717" t="s">
        <v>1224</v>
      </c>
      <c r="L401" s="720">
        <v>57.908999999999992</v>
      </c>
      <c r="M401" s="720">
        <v>10</v>
      </c>
      <c r="N401" s="721">
        <v>579.08999999999992</v>
      </c>
    </row>
    <row r="402" spans="1:14" ht="14.45" customHeight="1" x14ac:dyDescent="0.2">
      <c r="A402" s="715" t="s">
        <v>518</v>
      </c>
      <c r="B402" s="716" t="s">
        <v>519</v>
      </c>
      <c r="C402" s="717" t="s">
        <v>531</v>
      </c>
      <c r="D402" s="718" t="s">
        <v>532</v>
      </c>
      <c r="E402" s="719">
        <v>50113001</v>
      </c>
      <c r="F402" s="718" t="s">
        <v>536</v>
      </c>
      <c r="G402" s="717" t="s">
        <v>537</v>
      </c>
      <c r="H402" s="717">
        <v>216573</v>
      </c>
      <c r="I402" s="717">
        <v>216573</v>
      </c>
      <c r="J402" s="717" t="s">
        <v>1225</v>
      </c>
      <c r="K402" s="717" t="s">
        <v>1226</v>
      </c>
      <c r="L402" s="720">
        <v>61.7</v>
      </c>
      <c r="M402" s="720">
        <v>5</v>
      </c>
      <c r="N402" s="721">
        <v>308.5</v>
      </c>
    </row>
    <row r="403" spans="1:14" ht="14.45" customHeight="1" x14ac:dyDescent="0.2">
      <c r="A403" s="715" t="s">
        <v>518</v>
      </c>
      <c r="B403" s="716" t="s">
        <v>519</v>
      </c>
      <c r="C403" s="717" t="s">
        <v>531</v>
      </c>
      <c r="D403" s="718" t="s">
        <v>532</v>
      </c>
      <c r="E403" s="719">
        <v>50113001</v>
      </c>
      <c r="F403" s="718" t="s">
        <v>536</v>
      </c>
      <c r="G403" s="717" t="s">
        <v>552</v>
      </c>
      <c r="H403" s="717">
        <v>180098</v>
      </c>
      <c r="I403" s="717">
        <v>180098</v>
      </c>
      <c r="J403" s="717" t="s">
        <v>1227</v>
      </c>
      <c r="K403" s="717" t="s">
        <v>1228</v>
      </c>
      <c r="L403" s="720">
        <v>762.61</v>
      </c>
      <c r="M403" s="720">
        <v>1</v>
      </c>
      <c r="N403" s="721">
        <v>762.61</v>
      </c>
    </row>
    <row r="404" spans="1:14" ht="14.45" customHeight="1" x14ac:dyDescent="0.2">
      <c r="A404" s="715" t="s">
        <v>518</v>
      </c>
      <c r="B404" s="716" t="s">
        <v>519</v>
      </c>
      <c r="C404" s="717" t="s">
        <v>531</v>
      </c>
      <c r="D404" s="718" t="s">
        <v>532</v>
      </c>
      <c r="E404" s="719">
        <v>50113001</v>
      </c>
      <c r="F404" s="718" t="s">
        <v>536</v>
      </c>
      <c r="G404" s="717" t="s">
        <v>552</v>
      </c>
      <c r="H404" s="717">
        <v>180081</v>
      </c>
      <c r="I404" s="717">
        <v>180081</v>
      </c>
      <c r="J404" s="717" t="s">
        <v>1229</v>
      </c>
      <c r="K404" s="717" t="s">
        <v>776</v>
      </c>
      <c r="L404" s="720">
        <v>587.13</v>
      </c>
      <c r="M404" s="720">
        <v>1</v>
      </c>
      <c r="N404" s="721">
        <v>587.13</v>
      </c>
    </row>
    <row r="405" spans="1:14" ht="14.45" customHeight="1" x14ac:dyDescent="0.2">
      <c r="A405" s="715" t="s">
        <v>518</v>
      </c>
      <c r="B405" s="716" t="s">
        <v>519</v>
      </c>
      <c r="C405" s="717" t="s">
        <v>531</v>
      </c>
      <c r="D405" s="718" t="s">
        <v>532</v>
      </c>
      <c r="E405" s="719">
        <v>50113001</v>
      </c>
      <c r="F405" s="718" t="s">
        <v>536</v>
      </c>
      <c r="G405" s="717" t="s">
        <v>537</v>
      </c>
      <c r="H405" s="717">
        <v>210446</v>
      </c>
      <c r="I405" s="717">
        <v>210446</v>
      </c>
      <c r="J405" s="717" t="s">
        <v>1230</v>
      </c>
      <c r="K405" s="717" t="s">
        <v>1231</v>
      </c>
      <c r="L405" s="720">
        <v>1120.02</v>
      </c>
      <c r="M405" s="720">
        <v>2</v>
      </c>
      <c r="N405" s="721">
        <v>2240.04</v>
      </c>
    </row>
    <row r="406" spans="1:14" ht="14.45" customHeight="1" x14ac:dyDescent="0.2">
      <c r="A406" s="715" t="s">
        <v>518</v>
      </c>
      <c r="B406" s="716" t="s">
        <v>519</v>
      </c>
      <c r="C406" s="717" t="s">
        <v>531</v>
      </c>
      <c r="D406" s="718" t="s">
        <v>532</v>
      </c>
      <c r="E406" s="719">
        <v>50113001</v>
      </c>
      <c r="F406" s="718" t="s">
        <v>536</v>
      </c>
      <c r="G406" s="717" t="s">
        <v>537</v>
      </c>
      <c r="H406" s="717">
        <v>100610</v>
      </c>
      <c r="I406" s="717">
        <v>610</v>
      </c>
      <c r="J406" s="717" t="s">
        <v>1232</v>
      </c>
      <c r="K406" s="717" t="s">
        <v>1233</v>
      </c>
      <c r="L406" s="720">
        <v>72.457611548556443</v>
      </c>
      <c r="M406" s="720">
        <v>381</v>
      </c>
      <c r="N406" s="721">
        <v>27606.350000000006</v>
      </c>
    </row>
    <row r="407" spans="1:14" ht="14.45" customHeight="1" x14ac:dyDescent="0.2">
      <c r="A407" s="715" t="s">
        <v>518</v>
      </c>
      <c r="B407" s="716" t="s">
        <v>519</v>
      </c>
      <c r="C407" s="717" t="s">
        <v>531</v>
      </c>
      <c r="D407" s="718" t="s">
        <v>532</v>
      </c>
      <c r="E407" s="719">
        <v>50113001</v>
      </c>
      <c r="F407" s="718" t="s">
        <v>536</v>
      </c>
      <c r="G407" s="717" t="s">
        <v>537</v>
      </c>
      <c r="H407" s="717">
        <v>100612</v>
      </c>
      <c r="I407" s="717">
        <v>612</v>
      </c>
      <c r="J407" s="717" t="s">
        <v>1234</v>
      </c>
      <c r="K407" s="717" t="s">
        <v>609</v>
      </c>
      <c r="L407" s="720">
        <v>67.614080726705239</v>
      </c>
      <c r="M407" s="720">
        <v>203</v>
      </c>
      <c r="N407" s="721">
        <v>13725.658387521164</v>
      </c>
    </row>
    <row r="408" spans="1:14" ht="14.45" customHeight="1" x14ac:dyDescent="0.2">
      <c r="A408" s="715" t="s">
        <v>518</v>
      </c>
      <c r="B408" s="716" t="s">
        <v>519</v>
      </c>
      <c r="C408" s="717" t="s">
        <v>531</v>
      </c>
      <c r="D408" s="718" t="s">
        <v>532</v>
      </c>
      <c r="E408" s="719">
        <v>50113001</v>
      </c>
      <c r="F408" s="718" t="s">
        <v>536</v>
      </c>
      <c r="G408" s="717" t="s">
        <v>537</v>
      </c>
      <c r="H408" s="717">
        <v>114711</v>
      </c>
      <c r="I408" s="717">
        <v>14711</v>
      </c>
      <c r="J408" s="717" t="s">
        <v>1235</v>
      </c>
      <c r="K408" s="717" t="s">
        <v>1236</v>
      </c>
      <c r="L408" s="720">
        <v>54.391999999999996</v>
      </c>
      <c r="M408" s="720">
        <v>5</v>
      </c>
      <c r="N408" s="721">
        <v>271.95999999999998</v>
      </c>
    </row>
    <row r="409" spans="1:14" ht="14.45" customHeight="1" x14ac:dyDescent="0.2">
      <c r="A409" s="715" t="s">
        <v>518</v>
      </c>
      <c r="B409" s="716" t="s">
        <v>519</v>
      </c>
      <c r="C409" s="717" t="s">
        <v>531</v>
      </c>
      <c r="D409" s="718" t="s">
        <v>532</v>
      </c>
      <c r="E409" s="719">
        <v>50113001</v>
      </c>
      <c r="F409" s="718" t="s">
        <v>536</v>
      </c>
      <c r="G409" s="717" t="s">
        <v>537</v>
      </c>
      <c r="H409" s="717">
        <v>192160</v>
      </c>
      <c r="I409" s="717">
        <v>92160</v>
      </c>
      <c r="J409" s="717" t="s">
        <v>1237</v>
      </c>
      <c r="K409" s="717" t="s">
        <v>1238</v>
      </c>
      <c r="L409" s="720">
        <v>66.093333333333334</v>
      </c>
      <c r="M409" s="720">
        <v>3</v>
      </c>
      <c r="N409" s="721">
        <v>198.28</v>
      </c>
    </row>
    <row r="410" spans="1:14" ht="14.45" customHeight="1" x14ac:dyDescent="0.2">
      <c r="A410" s="715" t="s">
        <v>518</v>
      </c>
      <c r="B410" s="716" t="s">
        <v>519</v>
      </c>
      <c r="C410" s="717" t="s">
        <v>531</v>
      </c>
      <c r="D410" s="718" t="s">
        <v>532</v>
      </c>
      <c r="E410" s="719">
        <v>50113001</v>
      </c>
      <c r="F410" s="718" t="s">
        <v>536</v>
      </c>
      <c r="G410" s="717" t="s">
        <v>537</v>
      </c>
      <c r="H410" s="717">
        <v>185636</v>
      </c>
      <c r="I410" s="717">
        <v>185636</v>
      </c>
      <c r="J410" s="717" t="s">
        <v>1239</v>
      </c>
      <c r="K410" s="717" t="s">
        <v>1240</v>
      </c>
      <c r="L410" s="720">
        <v>156.88999999999999</v>
      </c>
      <c r="M410" s="720">
        <v>2</v>
      </c>
      <c r="N410" s="721">
        <v>313.77999999999997</v>
      </c>
    </row>
    <row r="411" spans="1:14" ht="14.45" customHeight="1" x14ac:dyDescent="0.2">
      <c r="A411" s="715" t="s">
        <v>518</v>
      </c>
      <c r="B411" s="716" t="s">
        <v>519</v>
      </c>
      <c r="C411" s="717" t="s">
        <v>531</v>
      </c>
      <c r="D411" s="718" t="s">
        <v>532</v>
      </c>
      <c r="E411" s="719">
        <v>50113001</v>
      </c>
      <c r="F411" s="718" t="s">
        <v>536</v>
      </c>
      <c r="G411" s="717" t="s">
        <v>537</v>
      </c>
      <c r="H411" s="717">
        <v>116444</v>
      </c>
      <c r="I411" s="717">
        <v>16444</v>
      </c>
      <c r="J411" s="717" t="s">
        <v>1241</v>
      </c>
      <c r="K411" s="717" t="s">
        <v>1242</v>
      </c>
      <c r="L411" s="720">
        <v>121.97</v>
      </c>
      <c r="M411" s="720">
        <v>1</v>
      </c>
      <c r="N411" s="721">
        <v>121.97</v>
      </c>
    </row>
    <row r="412" spans="1:14" ht="14.45" customHeight="1" x14ac:dyDescent="0.2">
      <c r="A412" s="715" t="s">
        <v>518</v>
      </c>
      <c r="B412" s="716" t="s">
        <v>519</v>
      </c>
      <c r="C412" s="717" t="s">
        <v>531</v>
      </c>
      <c r="D412" s="718" t="s">
        <v>532</v>
      </c>
      <c r="E412" s="719">
        <v>50113001</v>
      </c>
      <c r="F412" s="718" t="s">
        <v>536</v>
      </c>
      <c r="G412" s="717" t="s">
        <v>552</v>
      </c>
      <c r="H412" s="717">
        <v>189664</v>
      </c>
      <c r="I412" s="717">
        <v>189664</v>
      </c>
      <c r="J412" s="717" t="s">
        <v>1243</v>
      </c>
      <c r="K412" s="717" t="s">
        <v>1244</v>
      </c>
      <c r="L412" s="720">
        <v>260.02999999999997</v>
      </c>
      <c r="M412" s="720">
        <v>1</v>
      </c>
      <c r="N412" s="721">
        <v>260.02999999999997</v>
      </c>
    </row>
    <row r="413" spans="1:14" ht="14.45" customHeight="1" x14ac:dyDescent="0.2">
      <c r="A413" s="715" t="s">
        <v>518</v>
      </c>
      <c r="B413" s="716" t="s">
        <v>519</v>
      </c>
      <c r="C413" s="717" t="s">
        <v>531</v>
      </c>
      <c r="D413" s="718" t="s">
        <v>532</v>
      </c>
      <c r="E413" s="719">
        <v>50113001</v>
      </c>
      <c r="F413" s="718" t="s">
        <v>536</v>
      </c>
      <c r="G413" s="717" t="s">
        <v>520</v>
      </c>
      <c r="H413" s="717">
        <v>219612</v>
      </c>
      <c r="I413" s="717">
        <v>219612</v>
      </c>
      <c r="J413" s="717" t="s">
        <v>1245</v>
      </c>
      <c r="K413" s="717" t="s">
        <v>1246</v>
      </c>
      <c r="L413" s="720">
        <v>44.66</v>
      </c>
      <c r="M413" s="720">
        <v>1</v>
      </c>
      <c r="N413" s="721">
        <v>44.66</v>
      </c>
    </row>
    <row r="414" spans="1:14" ht="14.45" customHeight="1" x14ac:dyDescent="0.2">
      <c r="A414" s="715" t="s">
        <v>518</v>
      </c>
      <c r="B414" s="716" t="s">
        <v>519</v>
      </c>
      <c r="C414" s="717" t="s">
        <v>531</v>
      </c>
      <c r="D414" s="718" t="s">
        <v>532</v>
      </c>
      <c r="E414" s="719">
        <v>50113001</v>
      </c>
      <c r="F414" s="718" t="s">
        <v>536</v>
      </c>
      <c r="G414" s="717" t="s">
        <v>537</v>
      </c>
      <c r="H414" s="717">
        <v>104380</v>
      </c>
      <c r="I414" s="717">
        <v>4380</v>
      </c>
      <c r="J414" s="717" t="s">
        <v>1247</v>
      </c>
      <c r="K414" s="717" t="s">
        <v>1248</v>
      </c>
      <c r="L414" s="720">
        <v>356.19999999999993</v>
      </c>
      <c r="M414" s="720">
        <v>2</v>
      </c>
      <c r="N414" s="721">
        <v>712.39999999999986</v>
      </c>
    </row>
    <row r="415" spans="1:14" ht="14.45" customHeight="1" x14ac:dyDescent="0.2">
      <c r="A415" s="715" t="s">
        <v>518</v>
      </c>
      <c r="B415" s="716" t="s">
        <v>519</v>
      </c>
      <c r="C415" s="717" t="s">
        <v>531</v>
      </c>
      <c r="D415" s="718" t="s">
        <v>532</v>
      </c>
      <c r="E415" s="719">
        <v>50113001</v>
      </c>
      <c r="F415" s="718" t="s">
        <v>536</v>
      </c>
      <c r="G415" s="717" t="s">
        <v>537</v>
      </c>
      <c r="H415" s="717">
        <v>844242</v>
      </c>
      <c r="I415" s="717">
        <v>105937</v>
      </c>
      <c r="J415" s="717" t="s">
        <v>1249</v>
      </c>
      <c r="K415" s="717" t="s">
        <v>1131</v>
      </c>
      <c r="L415" s="720">
        <v>2800</v>
      </c>
      <c r="M415" s="720">
        <v>1</v>
      </c>
      <c r="N415" s="721">
        <v>2800</v>
      </c>
    </row>
    <row r="416" spans="1:14" ht="14.45" customHeight="1" x14ac:dyDescent="0.2">
      <c r="A416" s="715" t="s">
        <v>518</v>
      </c>
      <c r="B416" s="716" t="s">
        <v>519</v>
      </c>
      <c r="C416" s="717" t="s">
        <v>531</v>
      </c>
      <c r="D416" s="718" t="s">
        <v>532</v>
      </c>
      <c r="E416" s="719">
        <v>50113001</v>
      </c>
      <c r="F416" s="718" t="s">
        <v>536</v>
      </c>
      <c r="G416" s="717" t="s">
        <v>537</v>
      </c>
      <c r="H416" s="717">
        <v>100616</v>
      </c>
      <c r="I416" s="717">
        <v>616</v>
      </c>
      <c r="J416" s="717" t="s">
        <v>1250</v>
      </c>
      <c r="K416" s="717" t="s">
        <v>1251</v>
      </c>
      <c r="L416" s="720">
        <v>116.89736842105265</v>
      </c>
      <c r="M416" s="720">
        <v>19</v>
      </c>
      <c r="N416" s="721">
        <v>2221.0500000000002</v>
      </c>
    </row>
    <row r="417" spans="1:14" ht="14.45" customHeight="1" x14ac:dyDescent="0.2">
      <c r="A417" s="715" t="s">
        <v>518</v>
      </c>
      <c r="B417" s="716" t="s">
        <v>519</v>
      </c>
      <c r="C417" s="717" t="s">
        <v>531</v>
      </c>
      <c r="D417" s="718" t="s">
        <v>532</v>
      </c>
      <c r="E417" s="719">
        <v>50113001</v>
      </c>
      <c r="F417" s="718" t="s">
        <v>536</v>
      </c>
      <c r="G417" s="717" t="s">
        <v>537</v>
      </c>
      <c r="H417" s="717">
        <v>848632</v>
      </c>
      <c r="I417" s="717">
        <v>125315</v>
      </c>
      <c r="J417" s="717" t="s">
        <v>1252</v>
      </c>
      <c r="K417" s="717" t="s">
        <v>1253</v>
      </c>
      <c r="L417" s="720">
        <v>58.166315789473686</v>
      </c>
      <c r="M417" s="720">
        <v>19</v>
      </c>
      <c r="N417" s="721">
        <v>1105.1600000000001</v>
      </c>
    </row>
    <row r="418" spans="1:14" ht="14.45" customHeight="1" x14ac:dyDescent="0.2">
      <c r="A418" s="715" t="s">
        <v>518</v>
      </c>
      <c r="B418" s="716" t="s">
        <v>519</v>
      </c>
      <c r="C418" s="717" t="s">
        <v>531</v>
      </c>
      <c r="D418" s="718" t="s">
        <v>532</v>
      </c>
      <c r="E418" s="719">
        <v>50113001</v>
      </c>
      <c r="F418" s="718" t="s">
        <v>536</v>
      </c>
      <c r="G418" s="717" t="s">
        <v>537</v>
      </c>
      <c r="H418" s="717">
        <v>160164</v>
      </c>
      <c r="I418" s="717">
        <v>60164</v>
      </c>
      <c r="J418" s="717" t="s">
        <v>1254</v>
      </c>
      <c r="K418" s="717" t="s">
        <v>1255</v>
      </c>
      <c r="L418" s="720">
        <v>138.54999999999998</v>
      </c>
      <c r="M418" s="720">
        <v>1</v>
      </c>
      <c r="N418" s="721">
        <v>138.54999999999998</v>
      </c>
    </row>
    <row r="419" spans="1:14" ht="14.45" customHeight="1" x14ac:dyDescent="0.2">
      <c r="A419" s="715" t="s">
        <v>518</v>
      </c>
      <c r="B419" s="716" t="s">
        <v>519</v>
      </c>
      <c r="C419" s="717" t="s">
        <v>531</v>
      </c>
      <c r="D419" s="718" t="s">
        <v>532</v>
      </c>
      <c r="E419" s="719">
        <v>50113001</v>
      </c>
      <c r="F419" s="718" t="s">
        <v>536</v>
      </c>
      <c r="G419" s="717" t="s">
        <v>537</v>
      </c>
      <c r="H419" s="717">
        <v>102429</v>
      </c>
      <c r="I419" s="717">
        <v>2429</v>
      </c>
      <c r="J419" s="717" t="s">
        <v>1256</v>
      </c>
      <c r="K419" s="717" t="s">
        <v>1257</v>
      </c>
      <c r="L419" s="720">
        <v>50.579999999999991</v>
      </c>
      <c r="M419" s="720">
        <v>1</v>
      </c>
      <c r="N419" s="721">
        <v>50.579999999999991</v>
      </c>
    </row>
    <row r="420" spans="1:14" ht="14.45" customHeight="1" x14ac:dyDescent="0.2">
      <c r="A420" s="715" t="s">
        <v>518</v>
      </c>
      <c r="B420" s="716" t="s">
        <v>519</v>
      </c>
      <c r="C420" s="717" t="s">
        <v>531</v>
      </c>
      <c r="D420" s="718" t="s">
        <v>532</v>
      </c>
      <c r="E420" s="719">
        <v>50113001</v>
      </c>
      <c r="F420" s="718" t="s">
        <v>536</v>
      </c>
      <c r="G420" s="717" t="s">
        <v>537</v>
      </c>
      <c r="H420" s="717">
        <v>101845</v>
      </c>
      <c r="I420" s="717">
        <v>1845</v>
      </c>
      <c r="J420" s="717" t="s">
        <v>1256</v>
      </c>
      <c r="K420" s="717" t="s">
        <v>1258</v>
      </c>
      <c r="L420" s="720">
        <v>75.115000000000023</v>
      </c>
      <c r="M420" s="720">
        <v>2</v>
      </c>
      <c r="N420" s="721">
        <v>150.23000000000005</v>
      </c>
    </row>
    <row r="421" spans="1:14" ht="14.45" customHeight="1" x14ac:dyDescent="0.2">
      <c r="A421" s="715" t="s">
        <v>518</v>
      </c>
      <c r="B421" s="716" t="s">
        <v>519</v>
      </c>
      <c r="C421" s="717" t="s">
        <v>531</v>
      </c>
      <c r="D421" s="718" t="s">
        <v>532</v>
      </c>
      <c r="E421" s="719">
        <v>50113001</v>
      </c>
      <c r="F421" s="718" t="s">
        <v>536</v>
      </c>
      <c r="G421" s="717" t="s">
        <v>537</v>
      </c>
      <c r="H421" s="717">
        <v>225171</v>
      </c>
      <c r="I421" s="717">
        <v>225171</v>
      </c>
      <c r="J421" s="717" t="s">
        <v>1259</v>
      </c>
      <c r="K421" s="717" t="s">
        <v>1260</v>
      </c>
      <c r="L421" s="720">
        <v>64.789999999999992</v>
      </c>
      <c r="M421" s="720">
        <v>6</v>
      </c>
      <c r="N421" s="721">
        <v>388.73999999999995</v>
      </c>
    </row>
    <row r="422" spans="1:14" ht="14.45" customHeight="1" x14ac:dyDescent="0.2">
      <c r="A422" s="715" t="s">
        <v>518</v>
      </c>
      <c r="B422" s="716" t="s">
        <v>519</v>
      </c>
      <c r="C422" s="717" t="s">
        <v>531</v>
      </c>
      <c r="D422" s="718" t="s">
        <v>532</v>
      </c>
      <c r="E422" s="719">
        <v>50113001</v>
      </c>
      <c r="F422" s="718" t="s">
        <v>536</v>
      </c>
      <c r="G422" s="717" t="s">
        <v>537</v>
      </c>
      <c r="H422" s="717">
        <v>225172</v>
      </c>
      <c r="I422" s="717">
        <v>225172</v>
      </c>
      <c r="J422" s="717" t="s">
        <v>1259</v>
      </c>
      <c r="K422" s="717" t="s">
        <v>1261</v>
      </c>
      <c r="L422" s="720">
        <v>58.77</v>
      </c>
      <c r="M422" s="720">
        <v>5</v>
      </c>
      <c r="N422" s="721">
        <v>293.85000000000002</v>
      </c>
    </row>
    <row r="423" spans="1:14" ht="14.45" customHeight="1" x14ac:dyDescent="0.2">
      <c r="A423" s="715" t="s">
        <v>518</v>
      </c>
      <c r="B423" s="716" t="s">
        <v>519</v>
      </c>
      <c r="C423" s="717" t="s">
        <v>531</v>
      </c>
      <c r="D423" s="718" t="s">
        <v>532</v>
      </c>
      <c r="E423" s="719">
        <v>50113001</v>
      </c>
      <c r="F423" s="718" t="s">
        <v>536</v>
      </c>
      <c r="G423" s="717" t="s">
        <v>520</v>
      </c>
      <c r="H423" s="717">
        <v>206498</v>
      </c>
      <c r="I423" s="717">
        <v>206498</v>
      </c>
      <c r="J423" s="717" t="s">
        <v>1262</v>
      </c>
      <c r="K423" s="717" t="s">
        <v>1263</v>
      </c>
      <c r="L423" s="720">
        <v>246.04</v>
      </c>
      <c r="M423" s="720">
        <v>1</v>
      </c>
      <c r="N423" s="721">
        <v>246.04</v>
      </c>
    </row>
    <row r="424" spans="1:14" ht="14.45" customHeight="1" x14ac:dyDescent="0.2">
      <c r="A424" s="715" t="s">
        <v>518</v>
      </c>
      <c r="B424" s="716" t="s">
        <v>519</v>
      </c>
      <c r="C424" s="717" t="s">
        <v>531</v>
      </c>
      <c r="D424" s="718" t="s">
        <v>532</v>
      </c>
      <c r="E424" s="719">
        <v>50113001</v>
      </c>
      <c r="F424" s="718" t="s">
        <v>536</v>
      </c>
      <c r="G424" s="717" t="s">
        <v>537</v>
      </c>
      <c r="H424" s="717">
        <v>191836</v>
      </c>
      <c r="I424" s="717">
        <v>91836</v>
      </c>
      <c r="J424" s="717" t="s">
        <v>1264</v>
      </c>
      <c r="K424" s="717" t="s">
        <v>1265</v>
      </c>
      <c r="L424" s="720">
        <v>44.485454545454552</v>
      </c>
      <c r="M424" s="720">
        <v>22</v>
      </c>
      <c r="N424" s="721">
        <v>978.68000000000006</v>
      </c>
    </row>
    <row r="425" spans="1:14" ht="14.45" customHeight="1" x14ac:dyDescent="0.2">
      <c r="A425" s="715" t="s">
        <v>518</v>
      </c>
      <c r="B425" s="716" t="s">
        <v>519</v>
      </c>
      <c r="C425" s="717" t="s">
        <v>531</v>
      </c>
      <c r="D425" s="718" t="s">
        <v>532</v>
      </c>
      <c r="E425" s="719">
        <v>50113001</v>
      </c>
      <c r="F425" s="718" t="s">
        <v>536</v>
      </c>
      <c r="G425" s="717" t="s">
        <v>537</v>
      </c>
      <c r="H425" s="717">
        <v>109847</v>
      </c>
      <c r="I425" s="717">
        <v>9847</v>
      </c>
      <c r="J425" s="717" t="s">
        <v>1264</v>
      </c>
      <c r="K425" s="717" t="s">
        <v>1266</v>
      </c>
      <c r="L425" s="720">
        <v>41.009999999999991</v>
      </c>
      <c r="M425" s="720">
        <v>1</v>
      </c>
      <c r="N425" s="721">
        <v>41.009999999999991</v>
      </c>
    </row>
    <row r="426" spans="1:14" ht="14.45" customHeight="1" x14ac:dyDescent="0.2">
      <c r="A426" s="715" t="s">
        <v>518</v>
      </c>
      <c r="B426" s="716" t="s">
        <v>519</v>
      </c>
      <c r="C426" s="717" t="s">
        <v>531</v>
      </c>
      <c r="D426" s="718" t="s">
        <v>532</v>
      </c>
      <c r="E426" s="719">
        <v>50113001</v>
      </c>
      <c r="F426" s="718" t="s">
        <v>536</v>
      </c>
      <c r="G426" s="717" t="s">
        <v>537</v>
      </c>
      <c r="H426" s="717">
        <v>201133</v>
      </c>
      <c r="I426" s="717">
        <v>201133</v>
      </c>
      <c r="J426" s="717" t="s">
        <v>1267</v>
      </c>
      <c r="K426" s="717" t="s">
        <v>1268</v>
      </c>
      <c r="L426" s="720">
        <v>236.26857142857148</v>
      </c>
      <c r="M426" s="720">
        <v>7</v>
      </c>
      <c r="N426" s="721">
        <v>1653.8800000000003</v>
      </c>
    </row>
    <row r="427" spans="1:14" ht="14.45" customHeight="1" x14ac:dyDescent="0.2">
      <c r="A427" s="715" t="s">
        <v>518</v>
      </c>
      <c r="B427" s="716" t="s">
        <v>519</v>
      </c>
      <c r="C427" s="717" t="s">
        <v>531</v>
      </c>
      <c r="D427" s="718" t="s">
        <v>532</v>
      </c>
      <c r="E427" s="719">
        <v>50113001</v>
      </c>
      <c r="F427" s="718" t="s">
        <v>536</v>
      </c>
      <c r="G427" s="717" t="s">
        <v>537</v>
      </c>
      <c r="H427" s="717">
        <v>215851</v>
      </c>
      <c r="I427" s="717">
        <v>215851</v>
      </c>
      <c r="J427" s="717" t="s">
        <v>1269</v>
      </c>
      <c r="K427" s="717" t="s">
        <v>1270</v>
      </c>
      <c r="L427" s="720">
        <v>290.91444444444448</v>
      </c>
      <c r="M427" s="720">
        <v>9</v>
      </c>
      <c r="N427" s="721">
        <v>2618.2300000000005</v>
      </c>
    </row>
    <row r="428" spans="1:14" ht="14.45" customHeight="1" x14ac:dyDescent="0.2">
      <c r="A428" s="715" t="s">
        <v>518</v>
      </c>
      <c r="B428" s="716" t="s">
        <v>519</v>
      </c>
      <c r="C428" s="717" t="s">
        <v>531</v>
      </c>
      <c r="D428" s="718" t="s">
        <v>532</v>
      </c>
      <c r="E428" s="719">
        <v>50113001</v>
      </c>
      <c r="F428" s="718" t="s">
        <v>536</v>
      </c>
      <c r="G428" s="717" t="s">
        <v>537</v>
      </c>
      <c r="H428" s="717">
        <v>143979</v>
      </c>
      <c r="I428" s="717">
        <v>43979</v>
      </c>
      <c r="J428" s="717" t="s">
        <v>1271</v>
      </c>
      <c r="K428" s="717" t="s">
        <v>1272</v>
      </c>
      <c r="L428" s="720">
        <v>81.789999999999992</v>
      </c>
      <c r="M428" s="720">
        <v>3</v>
      </c>
      <c r="N428" s="721">
        <v>245.36999999999998</v>
      </c>
    </row>
    <row r="429" spans="1:14" ht="14.45" customHeight="1" x14ac:dyDescent="0.2">
      <c r="A429" s="715" t="s">
        <v>518</v>
      </c>
      <c r="B429" s="716" t="s">
        <v>519</v>
      </c>
      <c r="C429" s="717" t="s">
        <v>531</v>
      </c>
      <c r="D429" s="718" t="s">
        <v>532</v>
      </c>
      <c r="E429" s="719">
        <v>50113001</v>
      </c>
      <c r="F429" s="718" t="s">
        <v>536</v>
      </c>
      <c r="G429" s="717" t="s">
        <v>537</v>
      </c>
      <c r="H429" s="717">
        <v>502132</v>
      </c>
      <c r="I429" s="717">
        <v>9999999</v>
      </c>
      <c r="J429" s="717" t="s">
        <v>1273</v>
      </c>
      <c r="K429" s="717" t="s">
        <v>551</v>
      </c>
      <c r="L429" s="720">
        <v>329.43</v>
      </c>
      <c r="M429" s="720">
        <v>4</v>
      </c>
      <c r="N429" s="721">
        <v>1317.72</v>
      </c>
    </row>
    <row r="430" spans="1:14" ht="14.45" customHeight="1" x14ac:dyDescent="0.2">
      <c r="A430" s="715" t="s">
        <v>518</v>
      </c>
      <c r="B430" s="716" t="s">
        <v>519</v>
      </c>
      <c r="C430" s="717" t="s">
        <v>531</v>
      </c>
      <c r="D430" s="718" t="s">
        <v>532</v>
      </c>
      <c r="E430" s="719">
        <v>50113001</v>
      </c>
      <c r="F430" s="718" t="s">
        <v>536</v>
      </c>
      <c r="G430" s="717" t="s">
        <v>537</v>
      </c>
      <c r="H430" s="717">
        <v>150118</v>
      </c>
      <c r="I430" s="717">
        <v>50118</v>
      </c>
      <c r="J430" s="717" t="s">
        <v>1274</v>
      </c>
      <c r="K430" s="717" t="s">
        <v>1238</v>
      </c>
      <c r="L430" s="720">
        <v>98.45</v>
      </c>
      <c r="M430" s="720">
        <v>1</v>
      </c>
      <c r="N430" s="721">
        <v>98.45</v>
      </c>
    </row>
    <row r="431" spans="1:14" ht="14.45" customHeight="1" x14ac:dyDescent="0.2">
      <c r="A431" s="715" t="s">
        <v>518</v>
      </c>
      <c r="B431" s="716" t="s">
        <v>519</v>
      </c>
      <c r="C431" s="717" t="s">
        <v>531</v>
      </c>
      <c r="D431" s="718" t="s">
        <v>532</v>
      </c>
      <c r="E431" s="719">
        <v>50113001</v>
      </c>
      <c r="F431" s="718" t="s">
        <v>536</v>
      </c>
      <c r="G431" s="717" t="s">
        <v>537</v>
      </c>
      <c r="H431" s="717">
        <v>190958</v>
      </c>
      <c r="I431" s="717">
        <v>190958</v>
      </c>
      <c r="J431" s="717" t="s">
        <v>1275</v>
      </c>
      <c r="K431" s="717" t="s">
        <v>1139</v>
      </c>
      <c r="L431" s="720">
        <v>140.72</v>
      </c>
      <c r="M431" s="720">
        <v>2</v>
      </c>
      <c r="N431" s="721">
        <v>281.44</v>
      </c>
    </row>
    <row r="432" spans="1:14" ht="14.45" customHeight="1" x14ac:dyDescent="0.2">
      <c r="A432" s="715" t="s">
        <v>518</v>
      </c>
      <c r="B432" s="716" t="s">
        <v>519</v>
      </c>
      <c r="C432" s="717" t="s">
        <v>531</v>
      </c>
      <c r="D432" s="718" t="s">
        <v>532</v>
      </c>
      <c r="E432" s="719">
        <v>50113001</v>
      </c>
      <c r="F432" s="718" t="s">
        <v>536</v>
      </c>
      <c r="G432" s="717" t="s">
        <v>552</v>
      </c>
      <c r="H432" s="717">
        <v>56972</v>
      </c>
      <c r="I432" s="717">
        <v>56972</v>
      </c>
      <c r="J432" s="717" t="s">
        <v>1276</v>
      </c>
      <c r="K432" s="717" t="s">
        <v>1277</v>
      </c>
      <c r="L432" s="720">
        <v>14.770000000000003</v>
      </c>
      <c r="M432" s="720">
        <v>1</v>
      </c>
      <c r="N432" s="721">
        <v>14.770000000000003</v>
      </c>
    </row>
    <row r="433" spans="1:14" ht="14.45" customHeight="1" x14ac:dyDescent="0.2">
      <c r="A433" s="715" t="s">
        <v>518</v>
      </c>
      <c r="B433" s="716" t="s">
        <v>519</v>
      </c>
      <c r="C433" s="717" t="s">
        <v>531</v>
      </c>
      <c r="D433" s="718" t="s">
        <v>532</v>
      </c>
      <c r="E433" s="719">
        <v>50113001</v>
      </c>
      <c r="F433" s="718" t="s">
        <v>536</v>
      </c>
      <c r="G433" s="717" t="s">
        <v>537</v>
      </c>
      <c r="H433" s="717">
        <v>148306</v>
      </c>
      <c r="I433" s="717">
        <v>148306</v>
      </c>
      <c r="J433" s="717" t="s">
        <v>1278</v>
      </c>
      <c r="K433" s="717" t="s">
        <v>1279</v>
      </c>
      <c r="L433" s="720">
        <v>106.67000000000002</v>
      </c>
      <c r="M433" s="720">
        <v>2</v>
      </c>
      <c r="N433" s="721">
        <v>213.34000000000003</v>
      </c>
    </row>
    <row r="434" spans="1:14" ht="14.45" customHeight="1" x14ac:dyDescent="0.2">
      <c r="A434" s="715" t="s">
        <v>518</v>
      </c>
      <c r="B434" s="716" t="s">
        <v>519</v>
      </c>
      <c r="C434" s="717" t="s">
        <v>531</v>
      </c>
      <c r="D434" s="718" t="s">
        <v>532</v>
      </c>
      <c r="E434" s="719">
        <v>50113001</v>
      </c>
      <c r="F434" s="718" t="s">
        <v>536</v>
      </c>
      <c r="G434" s="717" t="s">
        <v>537</v>
      </c>
      <c r="H434" s="717">
        <v>130610</v>
      </c>
      <c r="I434" s="717">
        <v>130610</v>
      </c>
      <c r="J434" s="717" t="s">
        <v>1280</v>
      </c>
      <c r="K434" s="717" t="s">
        <v>1281</v>
      </c>
      <c r="L434" s="720">
        <v>573.36000000000024</v>
      </c>
      <c r="M434" s="720">
        <v>1</v>
      </c>
      <c r="N434" s="721">
        <v>573.36000000000024</v>
      </c>
    </row>
    <row r="435" spans="1:14" ht="14.45" customHeight="1" x14ac:dyDescent="0.2">
      <c r="A435" s="715" t="s">
        <v>518</v>
      </c>
      <c r="B435" s="716" t="s">
        <v>519</v>
      </c>
      <c r="C435" s="717" t="s">
        <v>531</v>
      </c>
      <c r="D435" s="718" t="s">
        <v>532</v>
      </c>
      <c r="E435" s="719">
        <v>50113001</v>
      </c>
      <c r="F435" s="718" t="s">
        <v>536</v>
      </c>
      <c r="G435" s="717" t="s">
        <v>537</v>
      </c>
      <c r="H435" s="717">
        <v>197864</v>
      </c>
      <c r="I435" s="717">
        <v>97864</v>
      </c>
      <c r="J435" s="717" t="s">
        <v>1282</v>
      </c>
      <c r="K435" s="717" t="s">
        <v>1283</v>
      </c>
      <c r="L435" s="720">
        <v>300.08000000000004</v>
      </c>
      <c r="M435" s="720">
        <v>1</v>
      </c>
      <c r="N435" s="721">
        <v>300.08000000000004</v>
      </c>
    </row>
    <row r="436" spans="1:14" ht="14.45" customHeight="1" x14ac:dyDescent="0.2">
      <c r="A436" s="715" t="s">
        <v>518</v>
      </c>
      <c r="B436" s="716" t="s">
        <v>519</v>
      </c>
      <c r="C436" s="717" t="s">
        <v>531</v>
      </c>
      <c r="D436" s="718" t="s">
        <v>532</v>
      </c>
      <c r="E436" s="719">
        <v>50113001</v>
      </c>
      <c r="F436" s="718" t="s">
        <v>536</v>
      </c>
      <c r="G436" s="717" t="s">
        <v>537</v>
      </c>
      <c r="H436" s="717">
        <v>208575</v>
      </c>
      <c r="I436" s="717">
        <v>208575</v>
      </c>
      <c r="J436" s="717" t="s">
        <v>1284</v>
      </c>
      <c r="K436" s="717" t="s">
        <v>1285</v>
      </c>
      <c r="L436" s="720">
        <v>146.74</v>
      </c>
      <c r="M436" s="720">
        <v>1</v>
      </c>
      <c r="N436" s="721">
        <v>146.74</v>
      </c>
    </row>
    <row r="437" spans="1:14" ht="14.45" customHeight="1" x14ac:dyDescent="0.2">
      <c r="A437" s="715" t="s">
        <v>518</v>
      </c>
      <c r="B437" s="716" t="s">
        <v>519</v>
      </c>
      <c r="C437" s="717" t="s">
        <v>531</v>
      </c>
      <c r="D437" s="718" t="s">
        <v>532</v>
      </c>
      <c r="E437" s="719">
        <v>50113001</v>
      </c>
      <c r="F437" s="718" t="s">
        <v>536</v>
      </c>
      <c r="G437" s="717" t="s">
        <v>552</v>
      </c>
      <c r="H437" s="717">
        <v>214628</v>
      </c>
      <c r="I437" s="717">
        <v>214628</v>
      </c>
      <c r="J437" s="717" t="s">
        <v>1286</v>
      </c>
      <c r="K437" s="717" t="s">
        <v>1287</v>
      </c>
      <c r="L437" s="720">
        <v>75.12</v>
      </c>
      <c r="M437" s="720">
        <v>2</v>
      </c>
      <c r="N437" s="721">
        <v>150.24</v>
      </c>
    </row>
    <row r="438" spans="1:14" ht="14.45" customHeight="1" x14ac:dyDescent="0.2">
      <c r="A438" s="715" t="s">
        <v>518</v>
      </c>
      <c r="B438" s="716" t="s">
        <v>519</v>
      </c>
      <c r="C438" s="717" t="s">
        <v>531</v>
      </c>
      <c r="D438" s="718" t="s">
        <v>532</v>
      </c>
      <c r="E438" s="719">
        <v>50113001</v>
      </c>
      <c r="F438" s="718" t="s">
        <v>536</v>
      </c>
      <c r="G438" s="717" t="s">
        <v>552</v>
      </c>
      <c r="H438" s="717">
        <v>158380</v>
      </c>
      <c r="I438" s="717">
        <v>58380</v>
      </c>
      <c r="J438" s="717" t="s">
        <v>1288</v>
      </c>
      <c r="K438" s="717" t="s">
        <v>1289</v>
      </c>
      <c r="L438" s="720">
        <v>81.16488888888891</v>
      </c>
      <c r="M438" s="720">
        <v>45</v>
      </c>
      <c r="N438" s="721">
        <v>3652.420000000001</v>
      </c>
    </row>
    <row r="439" spans="1:14" ht="14.45" customHeight="1" x14ac:dyDescent="0.2">
      <c r="A439" s="715" t="s">
        <v>518</v>
      </c>
      <c r="B439" s="716" t="s">
        <v>519</v>
      </c>
      <c r="C439" s="717" t="s">
        <v>531</v>
      </c>
      <c r="D439" s="718" t="s">
        <v>532</v>
      </c>
      <c r="E439" s="719">
        <v>50113001</v>
      </c>
      <c r="F439" s="718" t="s">
        <v>536</v>
      </c>
      <c r="G439" s="717" t="s">
        <v>537</v>
      </c>
      <c r="H439" s="717">
        <v>130434</v>
      </c>
      <c r="I439" s="717">
        <v>30434</v>
      </c>
      <c r="J439" s="717" t="s">
        <v>1290</v>
      </c>
      <c r="K439" s="717" t="s">
        <v>1291</v>
      </c>
      <c r="L439" s="720">
        <v>156.55666666666664</v>
      </c>
      <c r="M439" s="720">
        <v>3</v>
      </c>
      <c r="N439" s="721">
        <v>469.66999999999996</v>
      </c>
    </row>
    <row r="440" spans="1:14" ht="14.45" customHeight="1" x14ac:dyDescent="0.2">
      <c r="A440" s="715" t="s">
        <v>518</v>
      </c>
      <c r="B440" s="716" t="s">
        <v>519</v>
      </c>
      <c r="C440" s="717" t="s">
        <v>531</v>
      </c>
      <c r="D440" s="718" t="s">
        <v>532</v>
      </c>
      <c r="E440" s="719">
        <v>50113001</v>
      </c>
      <c r="F440" s="718" t="s">
        <v>536</v>
      </c>
      <c r="G440" s="717" t="s">
        <v>537</v>
      </c>
      <c r="H440" s="717">
        <v>146754</v>
      </c>
      <c r="I440" s="717">
        <v>46754</v>
      </c>
      <c r="J440" s="717" t="s">
        <v>1292</v>
      </c>
      <c r="K440" s="717" t="s">
        <v>1293</v>
      </c>
      <c r="L440" s="720">
        <v>116.63</v>
      </c>
      <c r="M440" s="720">
        <v>1</v>
      </c>
      <c r="N440" s="721">
        <v>116.63</v>
      </c>
    </row>
    <row r="441" spans="1:14" ht="14.45" customHeight="1" x14ac:dyDescent="0.2">
      <c r="A441" s="715" t="s">
        <v>518</v>
      </c>
      <c r="B441" s="716" t="s">
        <v>519</v>
      </c>
      <c r="C441" s="717" t="s">
        <v>531</v>
      </c>
      <c r="D441" s="718" t="s">
        <v>532</v>
      </c>
      <c r="E441" s="719">
        <v>50113001</v>
      </c>
      <c r="F441" s="718" t="s">
        <v>536</v>
      </c>
      <c r="G441" s="717" t="s">
        <v>537</v>
      </c>
      <c r="H441" s="717">
        <v>225452</v>
      </c>
      <c r="I441" s="717">
        <v>225452</v>
      </c>
      <c r="J441" s="717" t="s">
        <v>1294</v>
      </c>
      <c r="K441" s="717" t="s">
        <v>1295</v>
      </c>
      <c r="L441" s="720">
        <v>506.12</v>
      </c>
      <c r="M441" s="720">
        <v>1</v>
      </c>
      <c r="N441" s="721">
        <v>506.12</v>
      </c>
    </row>
    <row r="442" spans="1:14" ht="14.45" customHeight="1" x14ac:dyDescent="0.2">
      <c r="A442" s="715" t="s">
        <v>518</v>
      </c>
      <c r="B442" s="716" t="s">
        <v>519</v>
      </c>
      <c r="C442" s="717" t="s">
        <v>531</v>
      </c>
      <c r="D442" s="718" t="s">
        <v>532</v>
      </c>
      <c r="E442" s="719">
        <v>50113001</v>
      </c>
      <c r="F442" s="718" t="s">
        <v>536</v>
      </c>
      <c r="G442" s="717" t="s">
        <v>537</v>
      </c>
      <c r="H442" s="717">
        <v>221884</v>
      </c>
      <c r="I442" s="717">
        <v>221884</v>
      </c>
      <c r="J442" s="717" t="s">
        <v>1296</v>
      </c>
      <c r="K442" s="717" t="s">
        <v>1297</v>
      </c>
      <c r="L442" s="720">
        <v>1980</v>
      </c>
      <c r="M442" s="720">
        <v>170</v>
      </c>
      <c r="N442" s="721">
        <v>336600</v>
      </c>
    </row>
    <row r="443" spans="1:14" ht="14.45" customHeight="1" x14ac:dyDescent="0.2">
      <c r="A443" s="715" t="s">
        <v>518</v>
      </c>
      <c r="B443" s="716" t="s">
        <v>519</v>
      </c>
      <c r="C443" s="717" t="s">
        <v>531</v>
      </c>
      <c r="D443" s="718" t="s">
        <v>532</v>
      </c>
      <c r="E443" s="719">
        <v>50113001</v>
      </c>
      <c r="F443" s="718" t="s">
        <v>536</v>
      </c>
      <c r="G443" s="717" t="s">
        <v>537</v>
      </c>
      <c r="H443" s="717">
        <v>184785</v>
      </c>
      <c r="I443" s="717">
        <v>84785</v>
      </c>
      <c r="J443" s="717" t="s">
        <v>1298</v>
      </c>
      <c r="K443" s="717" t="s">
        <v>1299</v>
      </c>
      <c r="L443" s="720">
        <v>192.74</v>
      </c>
      <c r="M443" s="720">
        <v>5</v>
      </c>
      <c r="N443" s="721">
        <v>963.7</v>
      </c>
    </row>
    <row r="444" spans="1:14" ht="14.45" customHeight="1" x14ac:dyDescent="0.2">
      <c r="A444" s="715" t="s">
        <v>518</v>
      </c>
      <c r="B444" s="716" t="s">
        <v>519</v>
      </c>
      <c r="C444" s="717" t="s">
        <v>531</v>
      </c>
      <c r="D444" s="718" t="s">
        <v>532</v>
      </c>
      <c r="E444" s="719">
        <v>50113001</v>
      </c>
      <c r="F444" s="718" t="s">
        <v>536</v>
      </c>
      <c r="G444" s="717" t="s">
        <v>537</v>
      </c>
      <c r="H444" s="717">
        <v>184325</v>
      </c>
      <c r="I444" s="717">
        <v>84325</v>
      </c>
      <c r="J444" s="717" t="s">
        <v>1298</v>
      </c>
      <c r="K444" s="717" t="s">
        <v>1300</v>
      </c>
      <c r="L444" s="720">
        <v>76.740000000000023</v>
      </c>
      <c r="M444" s="720">
        <v>3</v>
      </c>
      <c r="N444" s="721">
        <v>230.22000000000008</v>
      </c>
    </row>
    <row r="445" spans="1:14" ht="14.45" customHeight="1" x14ac:dyDescent="0.2">
      <c r="A445" s="715" t="s">
        <v>518</v>
      </c>
      <c r="B445" s="716" t="s">
        <v>519</v>
      </c>
      <c r="C445" s="717" t="s">
        <v>531</v>
      </c>
      <c r="D445" s="718" t="s">
        <v>532</v>
      </c>
      <c r="E445" s="719">
        <v>50113001</v>
      </c>
      <c r="F445" s="718" t="s">
        <v>536</v>
      </c>
      <c r="G445" s="717" t="s">
        <v>537</v>
      </c>
      <c r="H445" s="717">
        <v>142595</v>
      </c>
      <c r="I445" s="717">
        <v>42595</v>
      </c>
      <c r="J445" s="717" t="s">
        <v>1301</v>
      </c>
      <c r="K445" s="717" t="s">
        <v>1094</v>
      </c>
      <c r="L445" s="720">
        <v>939.08888888888885</v>
      </c>
      <c r="M445" s="720">
        <v>45</v>
      </c>
      <c r="N445" s="721">
        <v>42259</v>
      </c>
    </row>
    <row r="446" spans="1:14" ht="14.45" customHeight="1" x14ac:dyDescent="0.2">
      <c r="A446" s="715" t="s">
        <v>518</v>
      </c>
      <c r="B446" s="716" t="s">
        <v>519</v>
      </c>
      <c r="C446" s="717" t="s">
        <v>531</v>
      </c>
      <c r="D446" s="718" t="s">
        <v>532</v>
      </c>
      <c r="E446" s="719">
        <v>50113001</v>
      </c>
      <c r="F446" s="718" t="s">
        <v>536</v>
      </c>
      <c r="G446" s="717" t="s">
        <v>537</v>
      </c>
      <c r="H446" s="717">
        <v>100641</v>
      </c>
      <c r="I446" s="717">
        <v>641</v>
      </c>
      <c r="J446" s="717" t="s">
        <v>1302</v>
      </c>
      <c r="K446" s="717" t="s">
        <v>1303</v>
      </c>
      <c r="L446" s="720">
        <v>31.24</v>
      </c>
      <c r="M446" s="720">
        <v>2</v>
      </c>
      <c r="N446" s="721">
        <v>62.48</v>
      </c>
    </row>
    <row r="447" spans="1:14" ht="14.45" customHeight="1" x14ac:dyDescent="0.2">
      <c r="A447" s="715" t="s">
        <v>518</v>
      </c>
      <c r="B447" s="716" t="s">
        <v>519</v>
      </c>
      <c r="C447" s="717" t="s">
        <v>531</v>
      </c>
      <c r="D447" s="718" t="s">
        <v>532</v>
      </c>
      <c r="E447" s="719">
        <v>50113001</v>
      </c>
      <c r="F447" s="718" t="s">
        <v>536</v>
      </c>
      <c r="G447" s="717" t="s">
        <v>537</v>
      </c>
      <c r="H447" s="717">
        <v>843996</v>
      </c>
      <c r="I447" s="717">
        <v>100191</v>
      </c>
      <c r="J447" s="717" t="s">
        <v>1304</v>
      </c>
      <c r="K447" s="717" t="s">
        <v>1305</v>
      </c>
      <c r="L447" s="720">
        <v>3881.4119999999994</v>
      </c>
      <c r="M447" s="720">
        <v>25</v>
      </c>
      <c r="N447" s="721">
        <v>97035.299999999988</v>
      </c>
    </row>
    <row r="448" spans="1:14" ht="14.45" customHeight="1" x14ac:dyDescent="0.2">
      <c r="A448" s="715" t="s">
        <v>518</v>
      </c>
      <c r="B448" s="716" t="s">
        <v>519</v>
      </c>
      <c r="C448" s="717" t="s">
        <v>531</v>
      </c>
      <c r="D448" s="718" t="s">
        <v>532</v>
      </c>
      <c r="E448" s="719">
        <v>50113001</v>
      </c>
      <c r="F448" s="718" t="s">
        <v>536</v>
      </c>
      <c r="G448" s="717" t="s">
        <v>537</v>
      </c>
      <c r="H448" s="717">
        <v>840813</v>
      </c>
      <c r="I448" s="717">
        <v>135844</v>
      </c>
      <c r="J448" s="717" t="s">
        <v>1306</v>
      </c>
      <c r="K448" s="717" t="s">
        <v>1307</v>
      </c>
      <c r="L448" s="720">
        <v>2245.42</v>
      </c>
      <c r="M448" s="720">
        <v>12</v>
      </c>
      <c r="N448" s="721">
        <v>26945.040000000001</v>
      </c>
    </row>
    <row r="449" spans="1:14" ht="14.45" customHeight="1" x14ac:dyDescent="0.2">
      <c r="A449" s="715" t="s">
        <v>518</v>
      </c>
      <c r="B449" s="716" t="s">
        <v>519</v>
      </c>
      <c r="C449" s="717" t="s">
        <v>531</v>
      </c>
      <c r="D449" s="718" t="s">
        <v>532</v>
      </c>
      <c r="E449" s="719">
        <v>50113001</v>
      </c>
      <c r="F449" s="718" t="s">
        <v>536</v>
      </c>
      <c r="G449" s="717" t="s">
        <v>520</v>
      </c>
      <c r="H449" s="717">
        <v>194114</v>
      </c>
      <c r="I449" s="717">
        <v>94114</v>
      </c>
      <c r="J449" s="717" t="s">
        <v>1308</v>
      </c>
      <c r="K449" s="717" t="s">
        <v>1309</v>
      </c>
      <c r="L449" s="720">
        <v>137.53</v>
      </c>
      <c r="M449" s="720">
        <v>1</v>
      </c>
      <c r="N449" s="721">
        <v>137.53</v>
      </c>
    </row>
    <row r="450" spans="1:14" ht="14.45" customHeight="1" x14ac:dyDescent="0.2">
      <c r="A450" s="715" t="s">
        <v>518</v>
      </c>
      <c r="B450" s="716" t="s">
        <v>519</v>
      </c>
      <c r="C450" s="717" t="s">
        <v>531</v>
      </c>
      <c r="D450" s="718" t="s">
        <v>532</v>
      </c>
      <c r="E450" s="719">
        <v>50113001</v>
      </c>
      <c r="F450" s="718" t="s">
        <v>536</v>
      </c>
      <c r="G450" s="717" t="s">
        <v>552</v>
      </c>
      <c r="H450" s="717">
        <v>192342</v>
      </c>
      <c r="I450" s="717">
        <v>192342</v>
      </c>
      <c r="J450" s="717" t="s">
        <v>1310</v>
      </c>
      <c r="K450" s="717" t="s">
        <v>1311</v>
      </c>
      <c r="L450" s="720">
        <v>137.41000000000003</v>
      </c>
      <c r="M450" s="720">
        <v>1</v>
      </c>
      <c r="N450" s="721">
        <v>137.41000000000003</v>
      </c>
    </row>
    <row r="451" spans="1:14" ht="14.45" customHeight="1" x14ac:dyDescent="0.2">
      <c r="A451" s="715" t="s">
        <v>518</v>
      </c>
      <c r="B451" s="716" t="s">
        <v>519</v>
      </c>
      <c r="C451" s="717" t="s">
        <v>531</v>
      </c>
      <c r="D451" s="718" t="s">
        <v>532</v>
      </c>
      <c r="E451" s="719">
        <v>50113001</v>
      </c>
      <c r="F451" s="718" t="s">
        <v>536</v>
      </c>
      <c r="G451" s="717" t="s">
        <v>520</v>
      </c>
      <c r="H451" s="717">
        <v>199404</v>
      </c>
      <c r="I451" s="717">
        <v>199404</v>
      </c>
      <c r="J451" s="717" t="s">
        <v>1312</v>
      </c>
      <c r="K451" s="717" t="s">
        <v>1313</v>
      </c>
      <c r="L451" s="720">
        <v>499.19999999999987</v>
      </c>
      <c r="M451" s="720">
        <v>1</v>
      </c>
      <c r="N451" s="721">
        <v>499.19999999999987</v>
      </c>
    </row>
    <row r="452" spans="1:14" ht="14.45" customHeight="1" x14ac:dyDescent="0.2">
      <c r="A452" s="715" t="s">
        <v>518</v>
      </c>
      <c r="B452" s="716" t="s">
        <v>519</v>
      </c>
      <c r="C452" s="717" t="s">
        <v>531</v>
      </c>
      <c r="D452" s="718" t="s">
        <v>532</v>
      </c>
      <c r="E452" s="719">
        <v>50113001</v>
      </c>
      <c r="F452" s="718" t="s">
        <v>536</v>
      </c>
      <c r="G452" s="717" t="s">
        <v>537</v>
      </c>
      <c r="H452" s="717">
        <v>112770</v>
      </c>
      <c r="I452" s="717">
        <v>12770</v>
      </c>
      <c r="J452" s="717" t="s">
        <v>1314</v>
      </c>
      <c r="K452" s="717" t="s">
        <v>1315</v>
      </c>
      <c r="L452" s="720">
        <v>143.4</v>
      </c>
      <c r="M452" s="720">
        <v>3</v>
      </c>
      <c r="N452" s="721">
        <v>430.2</v>
      </c>
    </row>
    <row r="453" spans="1:14" ht="14.45" customHeight="1" x14ac:dyDescent="0.2">
      <c r="A453" s="715" t="s">
        <v>518</v>
      </c>
      <c r="B453" s="716" t="s">
        <v>519</v>
      </c>
      <c r="C453" s="717" t="s">
        <v>531</v>
      </c>
      <c r="D453" s="718" t="s">
        <v>532</v>
      </c>
      <c r="E453" s="719">
        <v>50113001</v>
      </c>
      <c r="F453" s="718" t="s">
        <v>536</v>
      </c>
      <c r="G453" s="717" t="s">
        <v>537</v>
      </c>
      <c r="H453" s="717">
        <v>117926</v>
      </c>
      <c r="I453" s="717">
        <v>201609</v>
      </c>
      <c r="J453" s="717" t="s">
        <v>1316</v>
      </c>
      <c r="K453" s="717" t="s">
        <v>1317</v>
      </c>
      <c r="L453" s="720">
        <v>41.180000000000021</v>
      </c>
      <c r="M453" s="720">
        <v>1</v>
      </c>
      <c r="N453" s="721">
        <v>41.180000000000021</v>
      </c>
    </row>
    <row r="454" spans="1:14" ht="14.45" customHeight="1" x14ac:dyDescent="0.2">
      <c r="A454" s="715" t="s">
        <v>518</v>
      </c>
      <c r="B454" s="716" t="s">
        <v>519</v>
      </c>
      <c r="C454" s="717" t="s">
        <v>531</v>
      </c>
      <c r="D454" s="718" t="s">
        <v>532</v>
      </c>
      <c r="E454" s="719">
        <v>50113001</v>
      </c>
      <c r="F454" s="718" t="s">
        <v>536</v>
      </c>
      <c r="G454" s="717" t="s">
        <v>552</v>
      </c>
      <c r="H454" s="717">
        <v>500566</v>
      </c>
      <c r="I454" s="717">
        <v>500566</v>
      </c>
      <c r="J454" s="717" t="s">
        <v>1318</v>
      </c>
      <c r="K454" s="717" t="s">
        <v>1319</v>
      </c>
      <c r="L454" s="720">
        <v>576.72000000000014</v>
      </c>
      <c r="M454" s="720">
        <v>2</v>
      </c>
      <c r="N454" s="721">
        <v>1153.4400000000003</v>
      </c>
    </row>
    <row r="455" spans="1:14" ht="14.45" customHeight="1" x14ac:dyDescent="0.2">
      <c r="A455" s="715" t="s">
        <v>518</v>
      </c>
      <c r="B455" s="716" t="s">
        <v>519</v>
      </c>
      <c r="C455" s="717" t="s">
        <v>531</v>
      </c>
      <c r="D455" s="718" t="s">
        <v>532</v>
      </c>
      <c r="E455" s="719">
        <v>50113001</v>
      </c>
      <c r="F455" s="718" t="s">
        <v>536</v>
      </c>
      <c r="G455" s="717" t="s">
        <v>552</v>
      </c>
      <c r="H455" s="717">
        <v>105496</v>
      </c>
      <c r="I455" s="717">
        <v>5496</v>
      </c>
      <c r="J455" s="717" t="s">
        <v>1320</v>
      </c>
      <c r="K455" s="717" t="s">
        <v>1321</v>
      </c>
      <c r="L455" s="720">
        <v>75.02</v>
      </c>
      <c r="M455" s="720">
        <v>3</v>
      </c>
      <c r="N455" s="721">
        <v>225.06</v>
      </c>
    </row>
    <row r="456" spans="1:14" ht="14.45" customHeight="1" x14ac:dyDescent="0.2">
      <c r="A456" s="715" t="s">
        <v>518</v>
      </c>
      <c r="B456" s="716" t="s">
        <v>519</v>
      </c>
      <c r="C456" s="717" t="s">
        <v>531</v>
      </c>
      <c r="D456" s="718" t="s">
        <v>532</v>
      </c>
      <c r="E456" s="719">
        <v>50113001</v>
      </c>
      <c r="F456" s="718" t="s">
        <v>536</v>
      </c>
      <c r="G456" s="717" t="s">
        <v>552</v>
      </c>
      <c r="H456" s="717">
        <v>166029</v>
      </c>
      <c r="I456" s="717">
        <v>66029</v>
      </c>
      <c r="J456" s="717" t="s">
        <v>1320</v>
      </c>
      <c r="K456" s="717" t="s">
        <v>1322</v>
      </c>
      <c r="L456" s="720">
        <v>28.5</v>
      </c>
      <c r="M456" s="720">
        <v>1</v>
      </c>
      <c r="N456" s="721">
        <v>28.5</v>
      </c>
    </row>
    <row r="457" spans="1:14" ht="14.45" customHeight="1" x14ac:dyDescent="0.2">
      <c r="A457" s="715" t="s">
        <v>518</v>
      </c>
      <c r="B457" s="716" t="s">
        <v>519</v>
      </c>
      <c r="C457" s="717" t="s">
        <v>531</v>
      </c>
      <c r="D457" s="718" t="s">
        <v>532</v>
      </c>
      <c r="E457" s="719">
        <v>50113001</v>
      </c>
      <c r="F457" s="718" t="s">
        <v>536</v>
      </c>
      <c r="G457" s="717" t="s">
        <v>552</v>
      </c>
      <c r="H457" s="717">
        <v>158834</v>
      </c>
      <c r="I457" s="717">
        <v>58834</v>
      </c>
      <c r="J457" s="717" t="s">
        <v>1323</v>
      </c>
      <c r="K457" s="717" t="s">
        <v>1324</v>
      </c>
      <c r="L457" s="720">
        <v>64.98</v>
      </c>
      <c r="M457" s="720">
        <v>1</v>
      </c>
      <c r="N457" s="721">
        <v>64.98</v>
      </c>
    </row>
    <row r="458" spans="1:14" ht="14.45" customHeight="1" x14ac:dyDescent="0.2">
      <c r="A458" s="715" t="s">
        <v>518</v>
      </c>
      <c r="B458" s="716" t="s">
        <v>519</v>
      </c>
      <c r="C458" s="717" t="s">
        <v>531</v>
      </c>
      <c r="D458" s="718" t="s">
        <v>532</v>
      </c>
      <c r="E458" s="719">
        <v>50113001</v>
      </c>
      <c r="F458" s="718" t="s">
        <v>536</v>
      </c>
      <c r="G458" s="717" t="s">
        <v>552</v>
      </c>
      <c r="H458" s="717">
        <v>153951</v>
      </c>
      <c r="I458" s="717">
        <v>53951</v>
      </c>
      <c r="J458" s="717" t="s">
        <v>1325</v>
      </c>
      <c r="K458" s="717" t="s">
        <v>1326</v>
      </c>
      <c r="L458" s="720">
        <v>183.51</v>
      </c>
      <c r="M458" s="720">
        <v>1</v>
      </c>
      <c r="N458" s="721">
        <v>183.51</v>
      </c>
    </row>
    <row r="459" spans="1:14" ht="14.45" customHeight="1" x14ac:dyDescent="0.2">
      <c r="A459" s="715" t="s">
        <v>518</v>
      </c>
      <c r="B459" s="716" t="s">
        <v>519</v>
      </c>
      <c r="C459" s="717" t="s">
        <v>531</v>
      </c>
      <c r="D459" s="718" t="s">
        <v>532</v>
      </c>
      <c r="E459" s="719">
        <v>50113001</v>
      </c>
      <c r="F459" s="718" t="s">
        <v>536</v>
      </c>
      <c r="G459" s="717" t="s">
        <v>552</v>
      </c>
      <c r="H459" s="717">
        <v>233360</v>
      </c>
      <c r="I459" s="717">
        <v>233360</v>
      </c>
      <c r="J459" s="717" t="s">
        <v>1327</v>
      </c>
      <c r="K459" s="717" t="s">
        <v>1328</v>
      </c>
      <c r="L459" s="720">
        <v>22.13</v>
      </c>
      <c r="M459" s="720">
        <v>2</v>
      </c>
      <c r="N459" s="721">
        <v>44.26</v>
      </c>
    </row>
    <row r="460" spans="1:14" ht="14.45" customHeight="1" x14ac:dyDescent="0.2">
      <c r="A460" s="715" t="s">
        <v>518</v>
      </c>
      <c r="B460" s="716" t="s">
        <v>519</v>
      </c>
      <c r="C460" s="717" t="s">
        <v>531</v>
      </c>
      <c r="D460" s="718" t="s">
        <v>532</v>
      </c>
      <c r="E460" s="719">
        <v>50113001</v>
      </c>
      <c r="F460" s="718" t="s">
        <v>536</v>
      </c>
      <c r="G460" s="717" t="s">
        <v>552</v>
      </c>
      <c r="H460" s="717">
        <v>233366</v>
      </c>
      <c r="I460" s="717">
        <v>233366</v>
      </c>
      <c r="J460" s="717" t="s">
        <v>1327</v>
      </c>
      <c r="K460" s="717" t="s">
        <v>1329</v>
      </c>
      <c r="L460" s="720">
        <v>45.555</v>
      </c>
      <c r="M460" s="720">
        <v>4</v>
      </c>
      <c r="N460" s="721">
        <v>182.22</v>
      </c>
    </row>
    <row r="461" spans="1:14" ht="14.45" customHeight="1" x14ac:dyDescent="0.2">
      <c r="A461" s="715" t="s">
        <v>518</v>
      </c>
      <c r="B461" s="716" t="s">
        <v>519</v>
      </c>
      <c r="C461" s="717" t="s">
        <v>531</v>
      </c>
      <c r="D461" s="718" t="s">
        <v>532</v>
      </c>
      <c r="E461" s="719">
        <v>50113001</v>
      </c>
      <c r="F461" s="718" t="s">
        <v>536</v>
      </c>
      <c r="G461" s="717" t="s">
        <v>520</v>
      </c>
      <c r="H461" s="717">
        <v>989453</v>
      </c>
      <c r="I461" s="717">
        <v>146899</v>
      </c>
      <c r="J461" s="717" t="s">
        <v>1327</v>
      </c>
      <c r="K461" s="717" t="s">
        <v>1329</v>
      </c>
      <c r="L461" s="720">
        <v>45.489999999999995</v>
      </c>
      <c r="M461" s="720">
        <v>1</v>
      </c>
      <c r="N461" s="721">
        <v>45.489999999999995</v>
      </c>
    </row>
    <row r="462" spans="1:14" ht="14.45" customHeight="1" x14ac:dyDescent="0.2">
      <c r="A462" s="715" t="s">
        <v>518</v>
      </c>
      <c r="B462" s="716" t="s">
        <v>519</v>
      </c>
      <c r="C462" s="717" t="s">
        <v>531</v>
      </c>
      <c r="D462" s="718" t="s">
        <v>532</v>
      </c>
      <c r="E462" s="719">
        <v>50113001</v>
      </c>
      <c r="F462" s="718" t="s">
        <v>536</v>
      </c>
      <c r="G462" s="717" t="s">
        <v>552</v>
      </c>
      <c r="H462" s="717">
        <v>846141</v>
      </c>
      <c r="I462" s="717">
        <v>107794</v>
      </c>
      <c r="J462" s="717" t="s">
        <v>1330</v>
      </c>
      <c r="K462" s="717" t="s">
        <v>1331</v>
      </c>
      <c r="L462" s="720">
        <v>288.94</v>
      </c>
      <c r="M462" s="720">
        <v>1</v>
      </c>
      <c r="N462" s="721">
        <v>288.94</v>
      </c>
    </row>
    <row r="463" spans="1:14" ht="14.45" customHeight="1" x14ac:dyDescent="0.2">
      <c r="A463" s="715" t="s">
        <v>518</v>
      </c>
      <c r="B463" s="716" t="s">
        <v>519</v>
      </c>
      <c r="C463" s="717" t="s">
        <v>531</v>
      </c>
      <c r="D463" s="718" t="s">
        <v>532</v>
      </c>
      <c r="E463" s="719">
        <v>50113002</v>
      </c>
      <c r="F463" s="718" t="s">
        <v>1332</v>
      </c>
      <c r="G463" s="717" t="s">
        <v>537</v>
      </c>
      <c r="H463" s="717">
        <v>195947</v>
      </c>
      <c r="I463" s="717">
        <v>95947</v>
      </c>
      <c r="J463" s="717" t="s">
        <v>1333</v>
      </c>
      <c r="K463" s="717" t="s">
        <v>1334</v>
      </c>
      <c r="L463" s="720">
        <v>2160.7868085106384</v>
      </c>
      <c r="M463" s="720">
        <v>47</v>
      </c>
      <c r="N463" s="721">
        <v>101556.98</v>
      </c>
    </row>
    <row r="464" spans="1:14" ht="14.45" customHeight="1" x14ac:dyDescent="0.2">
      <c r="A464" s="715" t="s">
        <v>518</v>
      </c>
      <c r="B464" s="716" t="s">
        <v>519</v>
      </c>
      <c r="C464" s="717" t="s">
        <v>531</v>
      </c>
      <c r="D464" s="718" t="s">
        <v>532</v>
      </c>
      <c r="E464" s="719">
        <v>50113002</v>
      </c>
      <c r="F464" s="718" t="s">
        <v>1332</v>
      </c>
      <c r="G464" s="717" t="s">
        <v>537</v>
      </c>
      <c r="H464" s="717">
        <v>396920</v>
      </c>
      <c r="I464" s="717">
        <v>100152</v>
      </c>
      <c r="J464" s="717" t="s">
        <v>1335</v>
      </c>
      <c r="K464" s="717" t="s">
        <v>1336</v>
      </c>
      <c r="L464" s="720">
        <v>2777.06</v>
      </c>
      <c r="M464" s="720">
        <v>3</v>
      </c>
      <c r="N464" s="721">
        <v>8331.18</v>
      </c>
    </row>
    <row r="465" spans="1:14" ht="14.45" customHeight="1" x14ac:dyDescent="0.2">
      <c r="A465" s="715" t="s">
        <v>518</v>
      </c>
      <c r="B465" s="716" t="s">
        <v>519</v>
      </c>
      <c r="C465" s="717" t="s">
        <v>531</v>
      </c>
      <c r="D465" s="718" t="s">
        <v>532</v>
      </c>
      <c r="E465" s="719">
        <v>50113002</v>
      </c>
      <c r="F465" s="718" t="s">
        <v>1332</v>
      </c>
      <c r="G465" s="717" t="s">
        <v>537</v>
      </c>
      <c r="H465" s="717">
        <v>149415</v>
      </c>
      <c r="I465" s="717">
        <v>49415</v>
      </c>
      <c r="J465" s="717" t="s">
        <v>1337</v>
      </c>
      <c r="K465" s="717" t="s">
        <v>599</v>
      </c>
      <c r="L465" s="720">
        <v>1728.25</v>
      </c>
      <c r="M465" s="720">
        <v>10</v>
      </c>
      <c r="N465" s="721">
        <v>17282.5</v>
      </c>
    </row>
    <row r="466" spans="1:14" ht="14.45" customHeight="1" x14ac:dyDescent="0.2">
      <c r="A466" s="715" t="s">
        <v>518</v>
      </c>
      <c r="B466" s="716" t="s">
        <v>519</v>
      </c>
      <c r="C466" s="717" t="s">
        <v>531</v>
      </c>
      <c r="D466" s="718" t="s">
        <v>532</v>
      </c>
      <c r="E466" s="719">
        <v>50113002</v>
      </c>
      <c r="F466" s="718" t="s">
        <v>1332</v>
      </c>
      <c r="G466" s="717" t="s">
        <v>537</v>
      </c>
      <c r="H466" s="717">
        <v>149409</v>
      </c>
      <c r="I466" s="717">
        <v>49409</v>
      </c>
      <c r="J466" s="717" t="s">
        <v>1338</v>
      </c>
      <c r="K466" s="717" t="s">
        <v>599</v>
      </c>
      <c r="L466" s="720">
        <v>1363.9564285714289</v>
      </c>
      <c r="M466" s="720">
        <v>14</v>
      </c>
      <c r="N466" s="721">
        <v>19095.390000000003</v>
      </c>
    </row>
    <row r="467" spans="1:14" ht="14.45" customHeight="1" x14ac:dyDescent="0.2">
      <c r="A467" s="715" t="s">
        <v>518</v>
      </c>
      <c r="B467" s="716" t="s">
        <v>519</v>
      </c>
      <c r="C467" s="717" t="s">
        <v>531</v>
      </c>
      <c r="D467" s="718" t="s">
        <v>532</v>
      </c>
      <c r="E467" s="719">
        <v>50113002</v>
      </c>
      <c r="F467" s="718" t="s">
        <v>1332</v>
      </c>
      <c r="G467" s="717" t="s">
        <v>537</v>
      </c>
      <c r="H467" s="717">
        <v>396914</v>
      </c>
      <c r="I467" s="717">
        <v>52301</v>
      </c>
      <c r="J467" s="717" t="s">
        <v>1339</v>
      </c>
      <c r="K467" s="717" t="s">
        <v>1336</v>
      </c>
      <c r="L467" s="720">
        <v>2221.3399999999988</v>
      </c>
      <c r="M467" s="720">
        <v>24</v>
      </c>
      <c r="N467" s="721">
        <v>53312.159999999974</v>
      </c>
    </row>
    <row r="468" spans="1:14" ht="14.45" customHeight="1" x14ac:dyDescent="0.2">
      <c r="A468" s="715" t="s">
        <v>518</v>
      </c>
      <c r="B468" s="716" t="s">
        <v>519</v>
      </c>
      <c r="C468" s="717" t="s">
        <v>531</v>
      </c>
      <c r="D468" s="718" t="s">
        <v>532</v>
      </c>
      <c r="E468" s="719">
        <v>50113002</v>
      </c>
      <c r="F468" s="718" t="s">
        <v>1332</v>
      </c>
      <c r="G468" s="717" t="s">
        <v>537</v>
      </c>
      <c r="H468" s="717">
        <v>501312</v>
      </c>
      <c r="I468" s="717">
        <v>88771</v>
      </c>
      <c r="J468" s="717" t="s">
        <v>1340</v>
      </c>
      <c r="K468" s="717" t="s">
        <v>1341</v>
      </c>
      <c r="L468" s="720">
        <v>3300</v>
      </c>
      <c r="M468" s="720">
        <v>2</v>
      </c>
      <c r="N468" s="721">
        <v>6600</v>
      </c>
    </row>
    <row r="469" spans="1:14" ht="14.45" customHeight="1" x14ac:dyDescent="0.2">
      <c r="A469" s="715" t="s">
        <v>518</v>
      </c>
      <c r="B469" s="716" t="s">
        <v>519</v>
      </c>
      <c r="C469" s="717" t="s">
        <v>531</v>
      </c>
      <c r="D469" s="718" t="s">
        <v>532</v>
      </c>
      <c r="E469" s="719">
        <v>50113002</v>
      </c>
      <c r="F469" s="718" t="s">
        <v>1332</v>
      </c>
      <c r="G469" s="717" t="s">
        <v>537</v>
      </c>
      <c r="H469" s="717">
        <v>165317</v>
      </c>
      <c r="I469" s="717">
        <v>65317</v>
      </c>
      <c r="J469" s="717" t="s">
        <v>1342</v>
      </c>
      <c r="K469" s="717" t="s">
        <v>1343</v>
      </c>
      <c r="L469" s="720">
        <v>2189</v>
      </c>
      <c r="M469" s="720">
        <v>-0.6</v>
      </c>
      <c r="N469" s="721">
        <v>-1313.3999999999999</v>
      </c>
    </row>
    <row r="470" spans="1:14" ht="14.45" customHeight="1" x14ac:dyDescent="0.2">
      <c r="A470" s="715" t="s">
        <v>518</v>
      </c>
      <c r="B470" s="716" t="s">
        <v>519</v>
      </c>
      <c r="C470" s="717" t="s">
        <v>531</v>
      </c>
      <c r="D470" s="718" t="s">
        <v>532</v>
      </c>
      <c r="E470" s="719">
        <v>50113002</v>
      </c>
      <c r="F470" s="718" t="s">
        <v>1332</v>
      </c>
      <c r="G470" s="717" t="s">
        <v>537</v>
      </c>
      <c r="H470" s="717">
        <v>902081</v>
      </c>
      <c r="I470" s="717">
        <v>151112</v>
      </c>
      <c r="J470" s="717" t="s">
        <v>1344</v>
      </c>
      <c r="K470" s="717" t="s">
        <v>1345</v>
      </c>
      <c r="L470" s="720">
        <v>3428.9323265196595</v>
      </c>
      <c r="M470" s="720">
        <v>5</v>
      </c>
      <c r="N470" s="721">
        <v>17144.661632598298</v>
      </c>
    </row>
    <row r="471" spans="1:14" ht="14.45" customHeight="1" x14ac:dyDescent="0.2">
      <c r="A471" s="715" t="s">
        <v>518</v>
      </c>
      <c r="B471" s="716" t="s">
        <v>519</v>
      </c>
      <c r="C471" s="717" t="s">
        <v>531</v>
      </c>
      <c r="D471" s="718" t="s">
        <v>532</v>
      </c>
      <c r="E471" s="719">
        <v>50113002</v>
      </c>
      <c r="F471" s="718" t="s">
        <v>1332</v>
      </c>
      <c r="G471" s="717" t="s">
        <v>537</v>
      </c>
      <c r="H471" s="717">
        <v>116338</v>
      </c>
      <c r="I471" s="717">
        <v>16338</v>
      </c>
      <c r="J471" s="717" t="s">
        <v>1346</v>
      </c>
      <c r="K471" s="717" t="s">
        <v>1347</v>
      </c>
      <c r="L471" s="720">
        <v>3253.9736842105253</v>
      </c>
      <c r="M471" s="720">
        <v>38</v>
      </c>
      <c r="N471" s="721">
        <v>123650.99999999996</v>
      </c>
    </row>
    <row r="472" spans="1:14" ht="14.45" customHeight="1" x14ac:dyDescent="0.2">
      <c r="A472" s="715" t="s">
        <v>518</v>
      </c>
      <c r="B472" s="716" t="s">
        <v>519</v>
      </c>
      <c r="C472" s="717" t="s">
        <v>531</v>
      </c>
      <c r="D472" s="718" t="s">
        <v>532</v>
      </c>
      <c r="E472" s="719">
        <v>50113002</v>
      </c>
      <c r="F472" s="718" t="s">
        <v>1332</v>
      </c>
      <c r="G472" s="717" t="s">
        <v>537</v>
      </c>
      <c r="H472" s="717">
        <v>116336</v>
      </c>
      <c r="I472" s="717">
        <v>16336</v>
      </c>
      <c r="J472" s="717" t="s">
        <v>1346</v>
      </c>
      <c r="K472" s="717" t="s">
        <v>1348</v>
      </c>
      <c r="L472" s="720">
        <v>1706.6800000000003</v>
      </c>
      <c r="M472" s="720">
        <v>4</v>
      </c>
      <c r="N472" s="721">
        <v>6826.7200000000012</v>
      </c>
    </row>
    <row r="473" spans="1:14" ht="14.45" customHeight="1" x14ac:dyDescent="0.2">
      <c r="A473" s="715" t="s">
        <v>518</v>
      </c>
      <c r="B473" s="716" t="s">
        <v>519</v>
      </c>
      <c r="C473" s="717" t="s">
        <v>531</v>
      </c>
      <c r="D473" s="718" t="s">
        <v>532</v>
      </c>
      <c r="E473" s="719">
        <v>50113002</v>
      </c>
      <c r="F473" s="718" t="s">
        <v>1332</v>
      </c>
      <c r="G473" s="717" t="s">
        <v>537</v>
      </c>
      <c r="H473" s="717">
        <v>116337</v>
      </c>
      <c r="I473" s="717">
        <v>16337</v>
      </c>
      <c r="J473" s="717" t="s">
        <v>1346</v>
      </c>
      <c r="K473" s="717" t="s">
        <v>1349</v>
      </c>
      <c r="L473" s="720">
        <v>2118.0191836734703</v>
      </c>
      <c r="M473" s="720">
        <v>98</v>
      </c>
      <c r="N473" s="721">
        <v>207565.88000000009</v>
      </c>
    </row>
    <row r="474" spans="1:14" ht="14.45" customHeight="1" x14ac:dyDescent="0.2">
      <c r="A474" s="715" t="s">
        <v>518</v>
      </c>
      <c r="B474" s="716" t="s">
        <v>519</v>
      </c>
      <c r="C474" s="717" t="s">
        <v>531</v>
      </c>
      <c r="D474" s="718" t="s">
        <v>532</v>
      </c>
      <c r="E474" s="719">
        <v>50113002</v>
      </c>
      <c r="F474" s="718" t="s">
        <v>1332</v>
      </c>
      <c r="G474" s="717" t="s">
        <v>537</v>
      </c>
      <c r="H474" s="717">
        <v>142003</v>
      </c>
      <c r="I474" s="717">
        <v>142003</v>
      </c>
      <c r="J474" s="717" t="s">
        <v>1350</v>
      </c>
      <c r="K474" s="717" t="s">
        <v>599</v>
      </c>
      <c r="L474" s="720">
        <v>3410</v>
      </c>
      <c r="M474" s="720">
        <v>19</v>
      </c>
      <c r="N474" s="721">
        <v>64790</v>
      </c>
    </row>
    <row r="475" spans="1:14" ht="14.45" customHeight="1" x14ac:dyDescent="0.2">
      <c r="A475" s="715" t="s">
        <v>518</v>
      </c>
      <c r="B475" s="716" t="s">
        <v>519</v>
      </c>
      <c r="C475" s="717" t="s">
        <v>531</v>
      </c>
      <c r="D475" s="718" t="s">
        <v>532</v>
      </c>
      <c r="E475" s="719">
        <v>50113002</v>
      </c>
      <c r="F475" s="718" t="s">
        <v>1332</v>
      </c>
      <c r="G475" s="717" t="s">
        <v>537</v>
      </c>
      <c r="H475" s="717">
        <v>58629</v>
      </c>
      <c r="I475" s="717">
        <v>58629</v>
      </c>
      <c r="J475" s="717" t="s">
        <v>1351</v>
      </c>
      <c r="K475" s="717" t="s">
        <v>599</v>
      </c>
      <c r="L475" s="720">
        <v>2970</v>
      </c>
      <c r="M475" s="720">
        <v>7</v>
      </c>
      <c r="N475" s="721">
        <v>20790</v>
      </c>
    </row>
    <row r="476" spans="1:14" ht="14.45" customHeight="1" x14ac:dyDescent="0.2">
      <c r="A476" s="715" t="s">
        <v>518</v>
      </c>
      <c r="B476" s="716" t="s">
        <v>519</v>
      </c>
      <c r="C476" s="717" t="s">
        <v>531</v>
      </c>
      <c r="D476" s="718" t="s">
        <v>532</v>
      </c>
      <c r="E476" s="719">
        <v>50113002</v>
      </c>
      <c r="F476" s="718" t="s">
        <v>1332</v>
      </c>
      <c r="G476" s="717" t="s">
        <v>537</v>
      </c>
      <c r="H476" s="717">
        <v>158628</v>
      </c>
      <c r="I476" s="717">
        <v>58628</v>
      </c>
      <c r="J476" s="717" t="s">
        <v>1351</v>
      </c>
      <c r="K476" s="717" t="s">
        <v>1352</v>
      </c>
      <c r="L476" s="720">
        <v>297</v>
      </c>
      <c r="M476" s="720">
        <v>100</v>
      </c>
      <c r="N476" s="721">
        <v>29700</v>
      </c>
    </row>
    <row r="477" spans="1:14" ht="14.45" customHeight="1" x14ac:dyDescent="0.2">
      <c r="A477" s="715" t="s">
        <v>518</v>
      </c>
      <c r="B477" s="716" t="s">
        <v>519</v>
      </c>
      <c r="C477" s="717" t="s">
        <v>531</v>
      </c>
      <c r="D477" s="718" t="s">
        <v>532</v>
      </c>
      <c r="E477" s="719">
        <v>50113002</v>
      </c>
      <c r="F477" s="718" t="s">
        <v>1332</v>
      </c>
      <c r="G477" s="717" t="s">
        <v>537</v>
      </c>
      <c r="H477" s="717">
        <v>397303</v>
      </c>
      <c r="I477" s="717">
        <v>152193</v>
      </c>
      <c r="J477" s="717" t="s">
        <v>1353</v>
      </c>
      <c r="K477" s="717" t="s">
        <v>1354</v>
      </c>
      <c r="L477" s="720">
        <v>2529.7349999999997</v>
      </c>
      <c r="M477" s="720">
        <v>4</v>
      </c>
      <c r="N477" s="721">
        <v>10118.939999999999</v>
      </c>
    </row>
    <row r="478" spans="1:14" ht="14.45" customHeight="1" x14ac:dyDescent="0.2">
      <c r="A478" s="715" t="s">
        <v>518</v>
      </c>
      <c r="B478" s="716" t="s">
        <v>519</v>
      </c>
      <c r="C478" s="717" t="s">
        <v>531</v>
      </c>
      <c r="D478" s="718" t="s">
        <v>532</v>
      </c>
      <c r="E478" s="719">
        <v>50113002</v>
      </c>
      <c r="F478" s="718" t="s">
        <v>1332</v>
      </c>
      <c r="G478" s="717" t="s">
        <v>537</v>
      </c>
      <c r="H478" s="717">
        <v>213102</v>
      </c>
      <c r="I478" s="717">
        <v>213102</v>
      </c>
      <c r="J478" s="717" t="s">
        <v>1355</v>
      </c>
      <c r="K478" s="717" t="s">
        <v>1354</v>
      </c>
      <c r="L478" s="720">
        <v>2565.7700000000004</v>
      </c>
      <c r="M478" s="720">
        <v>5</v>
      </c>
      <c r="N478" s="721">
        <v>12828.850000000002</v>
      </c>
    </row>
    <row r="479" spans="1:14" ht="14.45" customHeight="1" x14ac:dyDescent="0.2">
      <c r="A479" s="715" t="s">
        <v>518</v>
      </c>
      <c r="B479" s="716" t="s">
        <v>519</v>
      </c>
      <c r="C479" s="717" t="s">
        <v>531</v>
      </c>
      <c r="D479" s="718" t="s">
        <v>532</v>
      </c>
      <c r="E479" s="719">
        <v>50113002</v>
      </c>
      <c r="F479" s="718" t="s">
        <v>1332</v>
      </c>
      <c r="G479" s="717" t="s">
        <v>537</v>
      </c>
      <c r="H479" s="717">
        <v>213103</v>
      </c>
      <c r="I479" s="717">
        <v>213103</v>
      </c>
      <c r="J479" s="717" t="s">
        <v>1355</v>
      </c>
      <c r="K479" s="717" t="s">
        <v>1356</v>
      </c>
      <c r="L479" s="720">
        <v>3625.37</v>
      </c>
      <c r="M479" s="720">
        <v>1</v>
      </c>
      <c r="N479" s="721">
        <v>3625.37</v>
      </c>
    </row>
    <row r="480" spans="1:14" ht="14.45" customHeight="1" x14ac:dyDescent="0.2">
      <c r="A480" s="715" t="s">
        <v>518</v>
      </c>
      <c r="B480" s="716" t="s">
        <v>519</v>
      </c>
      <c r="C480" s="717" t="s">
        <v>531</v>
      </c>
      <c r="D480" s="718" t="s">
        <v>532</v>
      </c>
      <c r="E480" s="719">
        <v>50113002</v>
      </c>
      <c r="F480" s="718" t="s">
        <v>1332</v>
      </c>
      <c r="G480" s="717" t="s">
        <v>537</v>
      </c>
      <c r="H480" s="717">
        <v>213104</v>
      </c>
      <c r="I480" s="717">
        <v>213104</v>
      </c>
      <c r="J480" s="717" t="s">
        <v>1355</v>
      </c>
      <c r="K480" s="717" t="s">
        <v>1357</v>
      </c>
      <c r="L480" s="720">
        <v>4350.01</v>
      </c>
      <c r="M480" s="720">
        <v>3</v>
      </c>
      <c r="N480" s="721">
        <v>13050.03</v>
      </c>
    </row>
    <row r="481" spans="1:14" ht="14.45" customHeight="1" x14ac:dyDescent="0.2">
      <c r="A481" s="715" t="s">
        <v>518</v>
      </c>
      <c r="B481" s="716" t="s">
        <v>519</v>
      </c>
      <c r="C481" s="717" t="s">
        <v>531</v>
      </c>
      <c r="D481" s="718" t="s">
        <v>532</v>
      </c>
      <c r="E481" s="719">
        <v>50113002</v>
      </c>
      <c r="F481" s="718" t="s">
        <v>1332</v>
      </c>
      <c r="G481" s="717" t="s">
        <v>537</v>
      </c>
      <c r="H481" s="717">
        <v>211911</v>
      </c>
      <c r="I481" s="717">
        <v>211911</v>
      </c>
      <c r="J481" s="717" t="s">
        <v>1358</v>
      </c>
      <c r="K481" s="717" t="s">
        <v>1357</v>
      </c>
      <c r="L481" s="720">
        <v>4953.96</v>
      </c>
      <c r="M481" s="720">
        <v>6</v>
      </c>
      <c r="N481" s="721">
        <v>29723.760000000002</v>
      </c>
    </row>
    <row r="482" spans="1:14" ht="14.45" customHeight="1" x14ac:dyDescent="0.2">
      <c r="A482" s="715" t="s">
        <v>518</v>
      </c>
      <c r="B482" s="716" t="s">
        <v>519</v>
      </c>
      <c r="C482" s="717" t="s">
        <v>531</v>
      </c>
      <c r="D482" s="718" t="s">
        <v>532</v>
      </c>
      <c r="E482" s="719">
        <v>50113002</v>
      </c>
      <c r="F482" s="718" t="s">
        <v>1332</v>
      </c>
      <c r="G482" s="717" t="s">
        <v>537</v>
      </c>
      <c r="H482" s="717">
        <v>211909</v>
      </c>
      <c r="I482" s="717">
        <v>211909</v>
      </c>
      <c r="J482" s="717" t="s">
        <v>1358</v>
      </c>
      <c r="K482" s="717" t="s">
        <v>1354</v>
      </c>
      <c r="L482" s="720">
        <v>2740.1</v>
      </c>
      <c r="M482" s="720">
        <v>5</v>
      </c>
      <c r="N482" s="721">
        <v>13700.5</v>
      </c>
    </row>
    <row r="483" spans="1:14" ht="14.45" customHeight="1" x14ac:dyDescent="0.2">
      <c r="A483" s="715" t="s">
        <v>518</v>
      </c>
      <c r="B483" s="716" t="s">
        <v>519</v>
      </c>
      <c r="C483" s="717" t="s">
        <v>531</v>
      </c>
      <c r="D483" s="718" t="s">
        <v>532</v>
      </c>
      <c r="E483" s="719">
        <v>50113002</v>
      </c>
      <c r="F483" s="718" t="s">
        <v>1332</v>
      </c>
      <c r="G483" s="717" t="s">
        <v>537</v>
      </c>
      <c r="H483" s="717">
        <v>211910</v>
      </c>
      <c r="I483" s="717">
        <v>211910</v>
      </c>
      <c r="J483" s="717" t="s">
        <v>1358</v>
      </c>
      <c r="K483" s="717" t="s">
        <v>1356</v>
      </c>
      <c r="L483" s="720">
        <v>3771.24</v>
      </c>
      <c r="M483" s="720">
        <v>9</v>
      </c>
      <c r="N483" s="721">
        <v>33941.159999999996</v>
      </c>
    </row>
    <row r="484" spans="1:14" ht="14.45" customHeight="1" x14ac:dyDescent="0.2">
      <c r="A484" s="715" t="s">
        <v>518</v>
      </c>
      <c r="B484" s="716" t="s">
        <v>519</v>
      </c>
      <c r="C484" s="717" t="s">
        <v>531</v>
      </c>
      <c r="D484" s="718" t="s">
        <v>532</v>
      </c>
      <c r="E484" s="719">
        <v>50113002</v>
      </c>
      <c r="F484" s="718" t="s">
        <v>1332</v>
      </c>
      <c r="G484" s="717" t="s">
        <v>537</v>
      </c>
      <c r="H484" s="717">
        <v>103414</v>
      </c>
      <c r="I484" s="717">
        <v>3414</v>
      </c>
      <c r="J484" s="717" t="s">
        <v>1359</v>
      </c>
      <c r="K484" s="717" t="s">
        <v>1360</v>
      </c>
      <c r="L484" s="720">
        <v>2511.1564788732394</v>
      </c>
      <c r="M484" s="720">
        <v>355</v>
      </c>
      <c r="N484" s="721">
        <v>891460.55</v>
      </c>
    </row>
    <row r="485" spans="1:14" ht="14.45" customHeight="1" x14ac:dyDescent="0.2">
      <c r="A485" s="715" t="s">
        <v>518</v>
      </c>
      <c r="B485" s="716" t="s">
        <v>519</v>
      </c>
      <c r="C485" s="717" t="s">
        <v>531</v>
      </c>
      <c r="D485" s="718" t="s">
        <v>532</v>
      </c>
      <c r="E485" s="719">
        <v>50113002</v>
      </c>
      <c r="F485" s="718" t="s">
        <v>1332</v>
      </c>
      <c r="G485" s="717" t="s">
        <v>537</v>
      </c>
      <c r="H485" s="717">
        <v>397302</v>
      </c>
      <c r="I485" s="717">
        <v>3290</v>
      </c>
      <c r="J485" s="717" t="s">
        <v>1359</v>
      </c>
      <c r="K485" s="717" t="s">
        <v>1361</v>
      </c>
      <c r="L485" s="720">
        <v>1322.73</v>
      </c>
      <c r="M485" s="720">
        <v>4</v>
      </c>
      <c r="N485" s="721">
        <v>5290.92</v>
      </c>
    </row>
    <row r="486" spans="1:14" ht="14.45" customHeight="1" x14ac:dyDescent="0.2">
      <c r="A486" s="715" t="s">
        <v>518</v>
      </c>
      <c r="B486" s="716" t="s">
        <v>519</v>
      </c>
      <c r="C486" s="717" t="s">
        <v>531</v>
      </c>
      <c r="D486" s="718" t="s">
        <v>532</v>
      </c>
      <c r="E486" s="719">
        <v>50113002</v>
      </c>
      <c r="F486" s="718" t="s">
        <v>1332</v>
      </c>
      <c r="G486" s="717" t="s">
        <v>537</v>
      </c>
      <c r="H486" s="717">
        <v>227400</v>
      </c>
      <c r="I486" s="717">
        <v>227400</v>
      </c>
      <c r="J486" s="717" t="s">
        <v>1362</v>
      </c>
      <c r="K486" s="717" t="s">
        <v>1363</v>
      </c>
      <c r="L486" s="720">
        <v>4548.0599999999995</v>
      </c>
      <c r="M486" s="720">
        <v>5</v>
      </c>
      <c r="N486" s="721">
        <v>22740.3</v>
      </c>
    </row>
    <row r="487" spans="1:14" ht="14.45" customHeight="1" x14ac:dyDescent="0.2">
      <c r="A487" s="715" t="s">
        <v>518</v>
      </c>
      <c r="B487" s="716" t="s">
        <v>519</v>
      </c>
      <c r="C487" s="717" t="s">
        <v>531</v>
      </c>
      <c r="D487" s="718" t="s">
        <v>532</v>
      </c>
      <c r="E487" s="719">
        <v>50113002</v>
      </c>
      <c r="F487" s="718" t="s">
        <v>1332</v>
      </c>
      <c r="G487" s="717" t="s">
        <v>537</v>
      </c>
      <c r="H487" s="717">
        <v>394774</v>
      </c>
      <c r="I487" s="717">
        <v>157118</v>
      </c>
      <c r="J487" s="717" t="s">
        <v>1364</v>
      </c>
      <c r="K487" s="717" t="s">
        <v>1365</v>
      </c>
      <c r="L487" s="720">
        <v>3548.2615384615387</v>
      </c>
      <c r="M487" s="720">
        <v>39</v>
      </c>
      <c r="N487" s="721">
        <v>138382.20000000001</v>
      </c>
    </row>
    <row r="488" spans="1:14" ht="14.45" customHeight="1" x14ac:dyDescent="0.2">
      <c r="A488" s="715" t="s">
        <v>518</v>
      </c>
      <c r="B488" s="716" t="s">
        <v>519</v>
      </c>
      <c r="C488" s="717" t="s">
        <v>531</v>
      </c>
      <c r="D488" s="718" t="s">
        <v>532</v>
      </c>
      <c r="E488" s="719">
        <v>50113002</v>
      </c>
      <c r="F488" s="718" t="s">
        <v>1332</v>
      </c>
      <c r="G488" s="717" t="s">
        <v>537</v>
      </c>
      <c r="H488" s="717">
        <v>500716</v>
      </c>
      <c r="I488" s="717">
        <v>157112</v>
      </c>
      <c r="J488" s="717" t="s">
        <v>1366</v>
      </c>
      <c r="K488" s="717" t="s">
        <v>1365</v>
      </c>
      <c r="L488" s="720">
        <v>3591.284536082474</v>
      </c>
      <c r="M488" s="720">
        <v>97</v>
      </c>
      <c r="N488" s="721">
        <v>348354.6</v>
      </c>
    </row>
    <row r="489" spans="1:14" ht="14.45" customHeight="1" x14ac:dyDescent="0.2">
      <c r="A489" s="715" t="s">
        <v>518</v>
      </c>
      <c r="B489" s="716" t="s">
        <v>519</v>
      </c>
      <c r="C489" s="717" t="s">
        <v>531</v>
      </c>
      <c r="D489" s="718" t="s">
        <v>532</v>
      </c>
      <c r="E489" s="719">
        <v>50113002</v>
      </c>
      <c r="F489" s="718" t="s">
        <v>1332</v>
      </c>
      <c r="G489" s="717" t="s">
        <v>537</v>
      </c>
      <c r="H489" s="717">
        <v>139927</v>
      </c>
      <c r="I489" s="717">
        <v>139927</v>
      </c>
      <c r="J489" s="717" t="s">
        <v>1367</v>
      </c>
      <c r="K489" s="717" t="s">
        <v>1368</v>
      </c>
      <c r="L489" s="720">
        <v>4143.5280612336173</v>
      </c>
      <c r="M489" s="720">
        <v>6</v>
      </c>
      <c r="N489" s="721">
        <v>24861.168367401704</v>
      </c>
    </row>
    <row r="490" spans="1:14" ht="14.45" customHeight="1" x14ac:dyDescent="0.2">
      <c r="A490" s="715" t="s">
        <v>518</v>
      </c>
      <c r="B490" s="716" t="s">
        <v>519</v>
      </c>
      <c r="C490" s="717" t="s">
        <v>531</v>
      </c>
      <c r="D490" s="718" t="s">
        <v>532</v>
      </c>
      <c r="E490" s="719">
        <v>50113002</v>
      </c>
      <c r="F490" s="718" t="s">
        <v>1332</v>
      </c>
      <c r="G490" s="717" t="s">
        <v>537</v>
      </c>
      <c r="H490" s="717">
        <v>118735</v>
      </c>
      <c r="I490" s="717">
        <v>18735</v>
      </c>
      <c r="J490" s="717" t="s">
        <v>1369</v>
      </c>
      <c r="K490" s="717" t="s">
        <v>1370</v>
      </c>
      <c r="L490" s="720">
        <v>3787.170000000001</v>
      </c>
      <c r="M490" s="720">
        <v>1</v>
      </c>
      <c r="N490" s="721">
        <v>3787.170000000001</v>
      </c>
    </row>
    <row r="491" spans="1:14" ht="14.45" customHeight="1" x14ac:dyDescent="0.2">
      <c r="A491" s="715" t="s">
        <v>518</v>
      </c>
      <c r="B491" s="716" t="s">
        <v>519</v>
      </c>
      <c r="C491" s="717" t="s">
        <v>531</v>
      </c>
      <c r="D491" s="718" t="s">
        <v>532</v>
      </c>
      <c r="E491" s="719">
        <v>50113002</v>
      </c>
      <c r="F491" s="718" t="s">
        <v>1332</v>
      </c>
      <c r="G491" s="717" t="s">
        <v>537</v>
      </c>
      <c r="H491" s="717">
        <v>18733</v>
      </c>
      <c r="I491" s="717">
        <v>18733</v>
      </c>
      <c r="J491" s="717" t="s">
        <v>1369</v>
      </c>
      <c r="K491" s="717" t="s">
        <v>1371</v>
      </c>
      <c r="L491" s="720">
        <v>1496</v>
      </c>
      <c r="M491" s="720">
        <v>4</v>
      </c>
      <c r="N491" s="721">
        <v>5984</v>
      </c>
    </row>
    <row r="492" spans="1:14" ht="14.45" customHeight="1" x14ac:dyDescent="0.2">
      <c r="A492" s="715" t="s">
        <v>518</v>
      </c>
      <c r="B492" s="716" t="s">
        <v>519</v>
      </c>
      <c r="C492" s="717" t="s">
        <v>531</v>
      </c>
      <c r="D492" s="718" t="s">
        <v>532</v>
      </c>
      <c r="E492" s="719">
        <v>50113002</v>
      </c>
      <c r="F492" s="718" t="s">
        <v>1332</v>
      </c>
      <c r="G492" s="717" t="s">
        <v>537</v>
      </c>
      <c r="H492" s="717">
        <v>118734</v>
      </c>
      <c r="I492" s="717">
        <v>18734</v>
      </c>
      <c r="J492" s="717" t="s">
        <v>1369</v>
      </c>
      <c r="K492" s="717" t="s">
        <v>1372</v>
      </c>
      <c r="L492" s="720">
        <v>2739.17</v>
      </c>
      <c r="M492" s="720">
        <v>8</v>
      </c>
      <c r="N492" s="721">
        <v>21913.360000000001</v>
      </c>
    </row>
    <row r="493" spans="1:14" ht="14.45" customHeight="1" x14ac:dyDescent="0.2">
      <c r="A493" s="715" t="s">
        <v>518</v>
      </c>
      <c r="B493" s="716" t="s">
        <v>519</v>
      </c>
      <c r="C493" s="717" t="s">
        <v>531</v>
      </c>
      <c r="D493" s="718" t="s">
        <v>532</v>
      </c>
      <c r="E493" s="719">
        <v>50113006</v>
      </c>
      <c r="F493" s="718" t="s">
        <v>1373</v>
      </c>
      <c r="G493" s="717" t="s">
        <v>537</v>
      </c>
      <c r="H493" s="717">
        <v>991356</v>
      </c>
      <c r="I493" s="717">
        <v>0</v>
      </c>
      <c r="J493" s="717" t="s">
        <v>1374</v>
      </c>
      <c r="K493" s="717" t="s">
        <v>520</v>
      </c>
      <c r="L493" s="720">
        <v>732.81</v>
      </c>
      <c r="M493" s="720">
        <v>2</v>
      </c>
      <c r="N493" s="721">
        <v>1465.62</v>
      </c>
    </row>
    <row r="494" spans="1:14" ht="14.45" customHeight="1" x14ac:dyDescent="0.2">
      <c r="A494" s="715" t="s">
        <v>518</v>
      </c>
      <c r="B494" s="716" t="s">
        <v>519</v>
      </c>
      <c r="C494" s="717" t="s">
        <v>531</v>
      </c>
      <c r="D494" s="718" t="s">
        <v>532</v>
      </c>
      <c r="E494" s="719">
        <v>50113006</v>
      </c>
      <c r="F494" s="718" t="s">
        <v>1373</v>
      </c>
      <c r="G494" s="717" t="s">
        <v>552</v>
      </c>
      <c r="H494" s="717">
        <v>217110</v>
      </c>
      <c r="I494" s="717">
        <v>217110</v>
      </c>
      <c r="J494" s="717" t="s">
        <v>1375</v>
      </c>
      <c r="K494" s="717" t="s">
        <v>1376</v>
      </c>
      <c r="L494" s="720">
        <v>157.45599999999999</v>
      </c>
      <c r="M494" s="720">
        <v>5</v>
      </c>
      <c r="N494" s="721">
        <v>787.28</v>
      </c>
    </row>
    <row r="495" spans="1:14" ht="14.45" customHeight="1" x14ac:dyDescent="0.2">
      <c r="A495" s="715" t="s">
        <v>518</v>
      </c>
      <c r="B495" s="716" t="s">
        <v>519</v>
      </c>
      <c r="C495" s="717" t="s">
        <v>531</v>
      </c>
      <c r="D495" s="718" t="s">
        <v>532</v>
      </c>
      <c r="E495" s="719">
        <v>50113006</v>
      </c>
      <c r="F495" s="718" t="s">
        <v>1373</v>
      </c>
      <c r="G495" s="717" t="s">
        <v>552</v>
      </c>
      <c r="H495" s="717">
        <v>133339</v>
      </c>
      <c r="I495" s="717">
        <v>33339</v>
      </c>
      <c r="J495" s="717" t="s">
        <v>1377</v>
      </c>
      <c r="K495" s="717" t="s">
        <v>1378</v>
      </c>
      <c r="L495" s="720">
        <v>41.640000000000008</v>
      </c>
      <c r="M495" s="720">
        <v>102</v>
      </c>
      <c r="N495" s="721">
        <v>4247.2800000000007</v>
      </c>
    </row>
    <row r="496" spans="1:14" ht="14.45" customHeight="1" x14ac:dyDescent="0.2">
      <c r="A496" s="715" t="s">
        <v>518</v>
      </c>
      <c r="B496" s="716" t="s">
        <v>519</v>
      </c>
      <c r="C496" s="717" t="s">
        <v>531</v>
      </c>
      <c r="D496" s="718" t="s">
        <v>532</v>
      </c>
      <c r="E496" s="719">
        <v>50113006</v>
      </c>
      <c r="F496" s="718" t="s">
        <v>1373</v>
      </c>
      <c r="G496" s="717" t="s">
        <v>552</v>
      </c>
      <c r="H496" s="717">
        <v>133340</v>
      </c>
      <c r="I496" s="717">
        <v>33340</v>
      </c>
      <c r="J496" s="717" t="s">
        <v>1379</v>
      </c>
      <c r="K496" s="717" t="s">
        <v>1378</v>
      </c>
      <c r="L496" s="720">
        <v>41.197894736842102</v>
      </c>
      <c r="M496" s="720">
        <v>152</v>
      </c>
      <c r="N496" s="721">
        <v>6262.08</v>
      </c>
    </row>
    <row r="497" spans="1:14" ht="14.45" customHeight="1" x14ac:dyDescent="0.2">
      <c r="A497" s="715" t="s">
        <v>518</v>
      </c>
      <c r="B497" s="716" t="s">
        <v>519</v>
      </c>
      <c r="C497" s="717" t="s">
        <v>531</v>
      </c>
      <c r="D497" s="718" t="s">
        <v>532</v>
      </c>
      <c r="E497" s="719">
        <v>50113006</v>
      </c>
      <c r="F497" s="718" t="s">
        <v>1373</v>
      </c>
      <c r="G497" s="717" t="s">
        <v>520</v>
      </c>
      <c r="H497" s="717">
        <v>217075</v>
      </c>
      <c r="I497" s="717">
        <v>217075</v>
      </c>
      <c r="J497" s="717" t="s">
        <v>1380</v>
      </c>
      <c r="K497" s="717" t="s">
        <v>799</v>
      </c>
      <c r="L497" s="720">
        <v>161.59999999999997</v>
      </c>
      <c r="M497" s="720">
        <v>2</v>
      </c>
      <c r="N497" s="721">
        <v>323.19999999999993</v>
      </c>
    </row>
    <row r="498" spans="1:14" ht="14.45" customHeight="1" x14ac:dyDescent="0.2">
      <c r="A498" s="715" t="s">
        <v>518</v>
      </c>
      <c r="B498" s="716" t="s">
        <v>519</v>
      </c>
      <c r="C498" s="717" t="s">
        <v>531</v>
      </c>
      <c r="D498" s="718" t="s">
        <v>532</v>
      </c>
      <c r="E498" s="719">
        <v>50113006</v>
      </c>
      <c r="F498" s="718" t="s">
        <v>1373</v>
      </c>
      <c r="G498" s="717" t="s">
        <v>537</v>
      </c>
      <c r="H498" s="717">
        <v>217077</v>
      </c>
      <c r="I498" s="717">
        <v>217077</v>
      </c>
      <c r="J498" s="717" t="s">
        <v>1381</v>
      </c>
      <c r="K498" s="717" t="s">
        <v>799</v>
      </c>
      <c r="L498" s="720">
        <v>161.70382978723407</v>
      </c>
      <c r="M498" s="720">
        <v>47</v>
      </c>
      <c r="N498" s="721">
        <v>7600.0800000000017</v>
      </c>
    </row>
    <row r="499" spans="1:14" ht="14.45" customHeight="1" x14ac:dyDescent="0.2">
      <c r="A499" s="715" t="s">
        <v>518</v>
      </c>
      <c r="B499" s="716" t="s">
        <v>519</v>
      </c>
      <c r="C499" s="717" t="s">
        <v>531</v>
      </c>
      <c r="D499" s="718" t="s">
        <v>532</v>
      </c>
      <c r="E499" s="719">
        <v>50113006</v>
      </c>
      <c r="F499" s="718" t="s">
        <v>1373</v>
      </c>
      <c r="G499" s="717" t="s">
        <v>537</v>
      </c>
      <c r="H499" s="717">
        <v>33516</v>
      </c>
      <c r="I499" s="717">
        <v>33516</v>
      </c>
      <c r="J499" s="717" t="s">
        <v>1382</v>
      </c>
      <c r="K499" s="717" t="s">
        <v>1383</v>
      </c>
      <c r="L499" s="720">
        <v>32.800000000000004</v>
      </c>
      <c r="M499" s="720">
        <v>4</v>
      </c>
      <c r="N499" s="721">
        <v>131.20000000000002</v>
      </c>
    </row>
    <row r="500" spans="1:14" ht="14.45" customHeight="1" x14ac:dyDescent="0.2">
      <c r="A500" s="715" t="s">
        <v>518</v>
      </c>
      <c r="B500" s="716" t="s">
        <v>519</v>
      </c>
      <c r="C500" s="717" t="s">
        <v>531</v>
      </c>
      <c r="D500" s="718" t="s">
        <v>532</v>
      </c>
      <c r="E500" s="719">
        <v>50113006</v>
      </c>
      <c r="F500" s="718" t="s">
        <v>1373</v>
      </c>
      <c r="G500" s="717" t="s">
        <v>520</v>
      </c>
      <c r="H500" s="717">
        <v>33889</v>
      </c>
      <c r="I500" s="717">
        <v>33889</v>
      </c>
      <c r="J500" s="717" t="s">
        <v>1384</v>
      </c>
      <c r="K500" s="717" t="s">
        <v>1385</v>
      </c>
      <c r="L500" s="720">
        <v>115</v>
      </c>
      <c r="M500" s="720">
        <v>3</v>
      </c>
      <c r="N500" s="721">
        <v>345</v>
      </c>
    </row>
    <row r="501" spans="1:14" ht="14.45" customHeight="1" x14ac:dyDescent="0.2">
      <c r="A501" s="715" t="s">
        <v>518</v>
      </c>
      <c r="B501" s="716" t="s">
        <v>519</v>
      </c>
      <c r="C501" s="717" t="s">
        <v>531</v>
      </c>
      <c r="D501" s="718" t="s">
        <v>532</v>
      </c>
      <c r="E501" s="719">
        <v>50113006</v>
      </c>
      <c r="F501" s="718" t="s">
        <v>1373</v>
      </c>
      <c r="G501" s="717" t="s">
        <v>520</v>
      </c>
      <c r="H501" s="717">
        <v>33891</v>
      </c>
      <c r="I501" s="717">
        <v>33891</v>
      </c>
      <c r="J501" s="717" t="s">
        <v>1386</v>
      </c>
      <c r="K501" s="717" t="s">
        <v>1385</v>
      </c>
      <c r="L501" s="720">
        <v>123.42</v>
      </c>
      <c r="M501" s="720">
        <v>9</v>
      </c>
      <c r="N501" s="721">
        <v>1110.78</v>
      </c>
    </row>
    <row r="502" spans="1:14" ht="14.45" customHeight="1" x14ac:dyDescent="0.2">
      <c r="A502" s="715" t="s">
        <v>518</v>
      </c>
      <c r="B502" s="716" t="s">
        <v>519</v>
      </c>
      <c r="C502" s="717" t="s">
        <v>531</v>
      </c>
      <c r="D502" s="718" t="s">
        <v>532</v>
      </c>
      <c r="E502" s="719">
        <v>50113006</v>
      </c>
      <c r="F502" s="718" t="s">
        <v>1373</v>
      </c>
      <c r="G502" s="717" t="s">
        <v>520</v>
      </c>
      <c r="H502" s="717">
        <v>33580</v>
      </c>
      <c r="I502" s="717">
        <v>33580</v>
      </c>
      <c r="J502" s="717" t="s">
        <v>1387</v>
      </c>
      <c r="K502" s="717" t="s">
        <v>1376</v>
      </c>
      <c r="L502" s="720">
        <v>124.19999999999999</v>
      </c>
      <c r="M502" s="720">
        <v>3</v>
      </c>
      <c r="N502" s="721">
        <v>372.59999999999997</v>
      </c>
    </row>
    <row r="503" spans="1:14" ht="14.45" customHeight="1" x14ac:dyDescent="0.2">
      <c r="A503" s="715" t="s">
        <v>518</v>
      </c>
      <c r="B503" s="716" t="s">
        <v>519</v>
      </c>
      <c r="C503" s="717" t="s">
        <v>531</v>
      </c>
      <c r="D503" s="718" t="s">
        <v>532</v>
      </c>
      <c r="E503" s="719">
        <v>50113006</v>
      </c>
      <c r="F503" s="718" t="s">
        <v>1373</v>
      </c>
      <c r="G503" s="717" t="s">
        <v>520</v>
      </c>
      <c r="H503" s="717">
        <v>33578</v>
      </c>
      <c r="I503" s="717">
        <v>33578</v>
      </c>
      <c r="J503" s="717" t="s">
        <v>1388</v>
      </c>
      <c r="K503" s="717" t="s">
        <v>1376</v>
      </c>
      <c r="L503" s="720">
        <v>124.2</v>
      </c>
      <c r="M503" s="720">
        <v>8</v>
      </c>
      <c r="N503" s="721">
        <v>993.6</v>
      </c>
    </row>
    <row r="504" spans="1:14" ht="14.45" customHeight="1" x14ac:dyDescent="0.2">
      <c r="A504" s="715" t="s">
        <v>518</v>
      </c>
      <c r="B504" s="716" t="s">
        <v>519</v>
      </c>
      <c r="C504" s="717" t="s">
        <v>531</v>
      </c>
      <c r="D504" s="718" t="s">
        <v>532</v>
      </c>
      <c r="E504" s="719">
        <v>50113006</v>
      </c>
      <c r="F504" s="718" t="s">
        <v>1373</v>
      </c>
      <c r="G504" s="717" t="s">
        <v>520</v>
      </c>
      <c r="H504" s="717">
        <v>217042</v>
      </c>
      <c r="I504" s="717">
        <v>217042</v>
      </c>
      <c r="J504" s="717" t="s">
        <v>1389</v>
      </c>
      <c r="K504" s="717" t="s">
        <v>1376</v>
      </c>
      <c r="L504" s="720">
        <v>124.2</v>
      </c>
      <c r="M504" s="720">
        <v>23</v>
      </c>
      <c r="N504" s="721">
        <v>2856.6</v>
      </c>
    </row>
    <row r="505" spans="1:14" ht="14.45" customHeight="1" x14ac:dyDescent="0.2">
      <c r="A505" s="715" t="s">
        <v>518</v>
      </c>
      <c r="B505" s="716" t="s">
        <v>519</v>
      </c>
      <c r="C505" s="717" t="s">
        <v>531</v>
      </c>
      <c r="D505" s="718" t="s">
        <v>532</v>
      </c>
      <c r="E505" s="719">
        <v>50113006</v>
      </c>
      <c r="F505" s="718" t="s">
        <v>1373</v>
      </c>
      <c r="G505" s="717" t="s">
        <v>537</v>
      </c>
      <c r="H505" s="717">
        <v>397803</v>
      </c>
      <c r="I505" s="717">
        <v>217084</v>
      </c>
      <c r="J505" s="717" t="s">
        <v>1390</v>
      </c>
      <c r="K505" s="717" t="s">
        <v>1391</v>
      </c>
      <c r="L505" s="720">
        <v>1776.75</v>
      </c>
      <c r="M505" s="720">
        <v>1</v>
      </c>
      <c r="N505" s="721">
        <v>1776.75</v>
      </c>
    </row>
    <row r="506" spans="1:14" ht="14.45" customHeight="1" x14ac:dyDescent="0.2">
      <c r="A506" s="715" t="s">
        <v>518</v>
      </c>
      <c r="B506" s="716" t="s">
        <v>519</v>
      </c>
      <c r="C506" s="717" t="s">
        <v>531</v>
      </c>
      <c r="D506" s="718" t="s">
        <v>532</v>
      </c>
      <c r="E506" s="719">
        <v>50113006</v>
      </c>
      <c r="F506" s="718" t="s">
        <v>1373</v>
      </c>
      <c r="G506" s="717" t="s">
        <v>520</v>
      </c>
      <c r="H506" s="717">
        <v>33036</v>
      </c>
      <c r="I506" s="717">
        <v>33036</v>
      </c>
      <c r="J506" s="717" t="s">
        <v>1392</v>
      </c>
      <c r="K506" s="717" t="s">
        <v>1391</v>
      </c>
      <c r="L506" s="720">
        <v>1380</v>
      </c>
      <c r="M506" s="720">
        <v>1</v>
      </c>
      <c r="N506" s="721">
        <v>1380</v>
      </c>
    </row>
    <row r="507" spans="1:14" ht="14.45" customHeight="1" x14ac:dyDescent="0.2">
      <c r="A507" s="715" t="s">
        <v>518</v>
      </c>
      <c r="B507" s="716" t="s">
        <v>519</v>
      </c>
      <c r="C507" s="717" t="s">
        <v>531</v>
      </c>
      <c r="D507" s="718" t="s">
        <v>532</v>
      </c>
      <c r="E507" s="719">
        <v>50113006</v>
      </c>
      <c r="F507" s="718" t="s">
        <v>1373</v>
      </c>
      <c r="G507" s="717" t="s">
        <v>520</v>
      </c>
      <c r="H507" s="717">
        <v>33589</v>
      </c>
      <c r="I507" s="717">
        <v>33589</v>
      </c>
      <c r="J507" s="717" t="s">
        <v>1393</v>
      </c>
      <c r="K507" s="717" t="s">
        <v>1376</v>
      </c>
      <c r="L507" s="720">
        <v>109.44999999999997</v>
      </c>
      <c r="M507" s="720">
        <v>2</v>
      </c>
      <c r="N507" s="721">
        <v>218.89999999999995</v>
      </c>
    </row>
    <row r="508" spans="1:14" ht="14.45" customHeight="1" x14ac:dyDescent="0.2">
      <c r="A508" s="715" t="s">
        <v>518</v>
      </c>
      <c r="B508" s="716" t="s">
        <v>519</v>
      </c>
      <c r="C508" s="717" t="s">
        <v>531</v>
      </c>
      <c r="D508" s="718" t="s">
        <v>532</v>
      </c>
      <c r="E508" s="719">
        <v>50113006</v>
      </c>
      <c r="F508" s="718" t="s">
        <v>1373</v>
      </c>
      <c r="G508" s="717" t="s">
        <v>537</v>
      </c>
      <c r="H508" s="717">
        <v>990223</v>
      </c>
      <c r="I508" s="717">
        <v>0</v>
      </c>
      <c r="J508" s="717" t="s">
        <v>1394</v>
      </c>
      <c r="K508" s="717" t="s">
        <v>520</v>
      </c>
      <c r="L508" s="720">
        <v>149.65</v>
      </c>
      <c r="M508" s="720">
        <v>30</v>
      </c>
      <c r="N508" s="721">
        <v>4489.5</v>
      </c>
    </row>
    <row r="509" spans="1:14" ht="14.45" customHeight="1" x14ac:dyDescent="0.2">
      <c r="A509" s="715" t="s">
        <v>518</v>
      </c>
      <c r="B509" s="716" t="s">
        <v>519</v>
      </c>
      <c r="C509" s="717" t="s">
        <v>531</v>
      </c>
      <c r="D509" s="718" t="s">
        <v>532</v>
      </c>
      <c r="E509" s="719">
        <v>50113006</v>
      </c>
      <c r="F509" s="718" t="s">
        <v>1373</v>
      </c>
      <c r="G509" s="717" t="s">
        <v>537</v>
      </c>
      <c r="H509" s="717">
        <v>993236</v>
      </c>
      <c r="I509" s="717">
        <v>0</v>
      </c>
      <c r="J509" s="717" t="s">
        <v>1395</v>
      </c>
      <c r="K509" s="717" t="s">
        <v>1396</v>
      </c>
      <c r="L509" s="720">
        <v>209.51000000000005</v>
      </c>
      <c r="M509" s="720">
        <v>5</v>
      </c>
      <c r="N509" s="721">
        <v>1047.5500000000002</v>
      </c>
    </row>
    <row r="510" spans="1:14" ht="14.45" customHeight="1" x14ac:dyDescent="0.2">
      <c r="A510" s="715" t="s">
        <v>518</v>
      </c>
      <c r="B510" s="716" t="s">
        <v>519</v>
      </c>
      <c r="C510" s="717" t="s">
        <v>531</v>
      </c>
      <c r="D510" s="718" t="s">
        <v>532</v>
      </c>
      <c r="E510" s="719">
        <v>50113006</v>
      </c>
      <c r="F510" s="718" t="s">
        <v>1373</v>
      </c>
      <c r="G510" s="717" t="s">
        <v>552</v>
      </c>
      <c r="H510" s="717">
        <v>33855</v>
      </c>
      <c r="I510" s="717">
        <v>33855</v>
      </c>
      <c r="J510" s="717" t="s">
        <v>1397</v>
      </c>
      <c r="K510" s="717" t="s">
        <v>1398</v>
      </c>
      <c r="L510" s="720">
        <v>183.15</v>
      </c>
      <c r="M510" s="720">
        <v>7</v>
      </c>
      <c r="N510" s="721">
        <v>1282.05</v>
      </c>
    </row>
    <row r="511" spans="1:14" ht="14.45" customHeight="1" x14ac:dyDescent="0.2">
      <c r="A511" s="715" t="s">
        <v>518</v>
      </c>
      <c r="B511" s="716" t="s">
        <v>519</v>
      </c>
      <c r="C511" s="717" t="s">
        <v>531</v>
      </c>
      <c r="D511" s="718" t="s">
        <v>532</v>
      </c>
      <c r="E511" s="719">
        <v>50113006</v>
      </c>
      <c r="F511" s="718" t="s">
        <v>1373</v>
      </c>
      <c r="G511" s="717" t="s">
        <v>552</v>
      </c>
      <c r="H511" s="717">
        <v>987792</v>
      </c>
      <c r="I511" s="717">
        <v>33749</v>
      </c>
      <c r="J511" s="717" t="s">
        <v>1399</v>
      </c>
      <c r="K511" s="717" t="s">
        <v>1400</v>
      </c>
      <c r="L511" s="720">
        <v>104.81842105263159</v>
      </c>
      <c r="M511" s="720">
        <v>19</v>
      </c>
      <c r="N511" s="721">
        <v>1991.5500000000002</v>
      </c>
    </row>
    <row r="512" spans="1:14" ht="14.45" customHeight="1" x14ac:dyDescent="0.2">
      <c r="A512" s="715" t="s">
        <v>518</v>
      </c>
      <c r="B512" s="716" t="s">
        <v>519</v>
      </c>
      <c r="C512" s="717" t="s">
        <v>531</v>
      </c>
      <c r="D512" s="718" t="s">
        <v>532</v>
      </c>
      <c r="E512" s="719">
        <v>50113006</v>
      </c>
      <c r="F512" s="718" t="s">
        <v>1373</v>
      </c>
      <c r="G512" s="717" t="s">
        <v>552</v>
      </c>
      <c r="H512" s="717">
        <v>33751</v>
      </c>
      <c r="I512" s="717">
        <v>33751</v>
      </c>
      <c r="J512" s="717" t="s">
        <v>1401</v>
      </c>
      <c r="K512" s="717" t="s">
        <v>1400</v>
      </c>
      <c r="L512" s="720">
        <v>103.7375</v>
      </c>
      <c r="M512" s="720">
        <v>12</v>
      </c>
      <c r="N512" s="721">
        <v>1244.8499999999999</v>
      </c>
    </row>
    <row r="513" spans="1:14" ht="14.45" customHeight="1" x14ac:dyDescent="0.2">
      <c r="A513" s="715" t="s">
        <v>518</v>
      </c>
      <c r="B513" s="716" t="s">
        <v>519</v>
      </c>
      <c r="C513" s="717" t="s">
        <v>531</v>
      </c>
      <c r="D513" s="718" t="s">
        <v>532</v>
      </c>
      <c r="E513" s="719">
        <v>50113006</v>
      </c>
      <c r="F513" s="718" t="s">
        <v>1373</v>
      </c>
      <c r="G513" s="717" t="s">
        <v>552</v>
      </c>
      <c r="H513" s="717">
        <v>395579</v>
      </c>
      <c r="I513" s="717">
        <v>33752</v>
      </c>
      <c r="J513" s="717" t="s">
        <v>1402</v>
      </c>
      <c r="K513" s="717" t="s">
        <v>1403</v>
      </c>
      <c r="L513" s="720">
        <v>108.10000000000002</v>
      </c>
      <c r="M513" s="720">
        <v>8</v>
      </c>
      <c r="N513" s="721">
        <v>864.80000000000018</v>
      </c>
    </row>
    <row r="514" spans="1:14" ht="14.45" customHeight="1" x14ac:dyDescent="0.2">
      <c r="A514" s="715" t="s">
        <v>518</v>
      </c>
      <c r="B514" s="716" t="s">
        <v>519</v>
      </c>
      <c r="C514" s="717" t="s">
        <v>531</v>
      </c>
      <c r="D514" s="718" t="s">
        <v>532</v>
      </c>
      <c r="E514" s="719">
        <v>50113006</v>
      </c>
      <c r="F514" s="718" t="s">
        <v>1373</v>
      </c>
      <c r="G514" s="717" t="s">
        <v>552</v>
      </c>
      <c r="H514" s="717">
        <v>33750</v>
      </c>
      <c r="I514" s="717">
        <v>33750</v>
      </c>
      <c r="J514" s="717" t="s">
        <v>1404</v>
      </c>
      <c r="K514" s="717" t="s">
        <v>1400</v>
      </c>
      <c r="L514" s="720">
        <v>104.33157894736841</v>
      </c>
      <c r="M514" s="720">
        <v>19</v>
      </c>
      <c r="N514" s="721">
        <v>1982.3</v>
      </c>
    </row>
    <row r="515" spans="1:14" ht="14.45" customHeight="1" x14ac:dyDescent="0.2">
      <c r="A515" s="715" t="s">
        <v>518</v>
      </c>
      <c r="B515" s="716" t="s">
        <v>519</v>
      </c>
      <c r="C515" s="717" t="s">
        <v>531</v>
      </c>
      <c r="D515" s="718" t="s">
        <v>532</v>
      </c>
      <c r="E515" s="719">
        <v>50113006</v>
      </c>
      <c r="F515" s="718" t="s">
        <v>1373</v>
      </c>
      <c r="G515" s="717" t="s">
        <v>552</v>
      </c>
      <c r="H515" s="717">
        <v>33859</v>
      </c>
      <c r="I515" s="717">
        <v>33859</v>
      </c>
      <c r="J515" s="717" t="s">
        <v>1405</v>
      </c>
      <c r="K515" s="717" t="s">
        <v>1376</v>
      </c>
      <c r="L515" s="720">
        <v>133.24142857142857</v>
      </c>
      <c r="M515" s="720">
        <v>28</v>
      </c>
      <c r="N515" s="721">
        <v>3730.76</v>
      </c>
    </row>
    <row r="516" spans="1:14" ht="14.45" customHeight="1" x14ac:dyDescent="0.2">
      <c r="A516" s="715" t="s">
        <v>518</v>
      </c>
      <c r="B516" s="716" t="s">
        <v>519</v>
      </c>
      <c r="C516" s="717" t="s">
        <v>531</v>
      </c>
      <c r="D516" s="718" t="s">
        <v>532</v>
      </c>
      <c r="E516" s="719">
        <v>50113006</v>
      </c>
      <c r="F516" s="718" t="s">
        <v>1373</v>
      </c>
      <c r="G516" s="717" t="s">
        <v>552</v>
      </c>
      <c r="H516" s="717">
        <v>33858</v>
      </c>
      <c r="I516" s="717">
        <v>33858</v>
      </c>
      <c r="J516" s="717" t="s">
        <v>1406</v>
      </c>
      <c r="K516" s="717" t="s">
        <v>1376</v>
      </c>
      <c r="L516" s="720">
        <v>144.69884615384615</v>
      </c>
      <c r="M516" s="720">
        <v>26</v>
      </c>
      <c r="N516" s="721">
        <v>3762.17</v>
      </c>
    </row>
    <row r="517" spans="1:14" ht="14.45" customHeight="1" x14ac:dyDescent="0.2">
      <c r="A517" s="715" t="s">
        <v>518</v>
      </c>
      <c r="B517" s="716" t="s">
        <v>519</v>
      </c>
      <c r="C517" s="717" t="s">
        <v>531</v>
      </c>
      <c r="D517" s="718" t="s">
        <v>532</v>
      </c>
      <c r="E517" s="719">
        <v>50113006</v>
      </c>
      <c r="F517" s="718" t="s">
        <v>1373</v>
      </c>
      <c r="G517" s="717" t="s">
        <v>552</v>
      </c>
      <c r="H517" s="717">
        <v>33851</v>
      </c>
      <c r="I517" s="717">
        <v>33851</v>
      </c>
      <c r="J517" s="717" t="s">
        <v>1407</v>
      </c>
      <c r="K517" s="717" t="s">
        <v>1376</v>
      </c>
      <c r="L517" s="720">
        <v>145.5</v>
      </c>
      <c r="M517" s="720">
        <v>1</v>
      </c>
      <c r="N517" s="721">
        <v>145.5</v>
      </c>
    </row>
    <row r="518" spans="1:14" ht="14.45" customHeight="1" x14ac:dyDescent="0.2">
      <c r="A518" s="715" t="s">
        <v>518</v>
      </c>
      <c r="B518" s="716" t="s">
        <v>519</v>
      </c>
      <c r="C518" s="717" t="s">
        <v>531</v>
      </c>
      <c r="D518" s="718" t="s">
        <v>532</v>
      </c>
      <c r="E518" s="719">
        <v>50113006</v>
      </c>
      <c r="F518" s="718" t="s">
        <v>1373</v>
      </c>
      <c r="G518" s="717" t="s">
        <v>552</v>
      </c>
      <c r="H518" s="717">
        <v>33936</v>
      </c>
      <c r="I518" s="717">
        <v>33936</v>
      </c>
      <c r="J518" s="717" t="s">
        <v>1408</v>
      </c>
      <c r="K518" s="717" t="s">
        <v>1378</v>
      </c>
      <c r="L518" s="720">
        <v>30.669999999999991</v>
      </c>
      <c r="M518" s="720">
        <v>8</v>
      </c>
      <c r="N518" s="721">
        <v>245.35999999999993</v>
      </c>
    </row>
    <row r="519" spans="1:14" ht="14.45" customHeight="1" x14ac:dyDescent="0.2">
      <c r="A519" s="715" t="s">
        <v>518</v>
      </c>
      <c r="B519" s="716" t="s">
        <v>519</v>
      </c>
      <c r="C519" s="717" t="s">
        <v>531</v>
      </c>
      <c r="D519" s="718" t="s">
        <v>532</v>
      </c>
      <c r="E519" s="719">
        <v>50113006</v>
      </c>
      <c r="F519" s="718" t="s">
        <v>1373</v>
      </c>
      <c r="G519" s="717" t="s">
        <v>552</v>
      </c>
      <c r="H519" s="717">
        <v>33848</v>
      </c>
      <c r="I519" s="717">
        <v>33848</v>
      </c>
      <c r="J519" s="717" t="s">
        <v>1409</v>
      </c>
      <c r="K519" s="717" t="s">
        <v>1376</v>
      </c>
      <c r="L519" s="720">
        <v>123.30615384615386</v>
      </c>
      <c r="M519" s="720">
        <v>26</v>
      </c>
      <c r="N519" s="721">
        <v>3205.9600000000005</v>
      </c>
    </row>
    <row r="520" spans="1:14" ht="14.45" customHeight="1" x14ac:dyDescent="0.2">
      <c r="A520" s="715" t="s">
        <v>518</v>
      </c>
      <c r="B520" s="716" t="s">
        <v>519</v>
      </c>
      <c r="C520" s="717" t="s">
        <v>531</v>
      </c>
      <c r="D520" s="718" t="s">
        <v>532</v>
      </c>
      <c r="E520" s="719">
        <v>50113006</v>
      </c>
      <c r="F520" s="718" t="s">
        <v>1373</v>
      </c>
      <c r="G520" s="717" t="s">
        <v>552</v>
      </c>
      <c r="H520" s="717">
        <v>990352</v>
      </c>
      <c r="I520" s="717">
        <v>33935</v>
      </c>
      <c r="J520" s="717" t="s">
        <v>1410</v>
      </c>
      <c r="K520" s="717" t="s">
        <v>1378</v>
      </c>
      <c r="L520" s="720">
        <v>30.670000000000005</v>
      </c>
      <c r="M520" s="720">
        <v>17</v>
      </c>
      <c r="N520" s="721">
        <v>521.3900000000001</v>
      </c>
    </row>
    <row r="521" spans="1:14" ht="14.45" customHeight="1" x14ac:dyDescent="0.2">
      <c r="A521" s="715" t="s">
        <v>518</v>
      </c>
      <c r="B521" s="716" t="s">
        <v>519</v>
      </c>
      <c r="C521" s="717" t="s">
        <v>531</v>
      </c>
      <c r="D521" s="718" t="s">
        <v>532</v>
      </c>
      <c r="E521" s="719">
        <v>50113006</v>
      </c>
      <c r="F521" s="718" t="s">
        <v>1373</v>
      </c>
      <c r="G521" s="717" t="s">
        <v>552</v>
      </c>
      <c r="H521" s="717">
        <v>33847</v>
      </c>
      <c r="I521" s="717">
        <v>33847</v>
      </c>
      <c r="J521" s="717" t="s">
        <v>1411</v>
      </c>
      <c r="K521" s="717" t="s">
        <v>1376</v>
      </c>
      <c r="L521" s="720">
        <v>123.38652173913044</v>
      </c>
      <c r="M521" s="720">
        <v>23</v>
      </c>
      <c r="N521" s="721">
        <v>2837.8900000000003</v>
      </c>
    </row>
    <row r="522" spans="1:14" ht="14.45" customHeight="1" x14ac:dyDescent="0.2">
      <c r="A522" s="715" t="s">
        <v>518</v>
      </c>
      <c r="B522" s="716" t="s">
        <v>519</v>
      </c>
      <c r="C522" s="717" t="s">
        <v>531</v>
      </c>
      <c r="D522" s="718" t="s">
        <v>532</v>
      </c>
      <c r="E522" s="719">
        <v>50113006</v>
      </c>
      <c r="F522" s="718" t="s">
        <v>1373</v>
      </c>
      <c r="G522" s="717" t="s">
        <v>552</v>
      </c>
      <c r="H522" s="717">
        <v>217054</v>
      </c>
      <c r="I522" s="717">
        <v>217054</v>
      </c>
      <c r="J522" s="717" t="s">
        <v>1412</v>
      </c>
      <c r="K522" s="717" t="s">
        <v>1413</v>
      </c>
      <c r="L522" s="720">
        <v>1110.5730555555558</v>
      </c>
      <c r="M522" s="720">
        <v>36</v>
      </c>
      <c r="N522" s="721">
        <v>39980.630000000012</v>
      </c>
    </row>
    <row r="523" spans="1:14" ht="14.45" customHeight="1" x14ac:dyDescent="0.2">
      <c r="A523" s="715" t="s">
        <v>518</v>
      </c>
      <c r="B523" s="716" t="s">
        <v>519</v>
      </c>
      <c r="C523" s="717" t="s">
        <v>531</v>
      </c>
      <c r="D523" s="718" t="s">
        <v>532</v>
      </c>
      <c r="E523" s="719">
        <v>50113006</v>
      </c>
      <c r="F523" s="718" t="s">
        <v>1373</v>
      </c>
      <c r="G523" s="717" t="s">
        <v>552</v>
      </c>
      <c r="H523" s="717">
        <v>33527</v>
      </c>
      <c r="I523" s="717">
        <v>33527</v>
      </c>
      <c r="J523" s="717" t="s">
        <v>1412</v>
      </c>
      <c r="K523" s="717" t="s">
        <v>1414</v>
      </c>
      <c r="L523" s="720">
        <v>55.570000000000014</v>
      </c>
      <c r="M523" s="720">
        <v>64</v>
      </c>
      <c r="N523" s="721">
        <v>3556.4800000000009</v>
      </c>
    </row>
    <row r="524" spans="1:14" ht="14.45" customHeight="1" x14ac:dyDescent="0.2">
      <c r="A524" s="715" t="s">
        <v>518</v>
      </c>
      <c r="B524" s="716" t="s">
        <v>519</v>
      </c>
      <c r="C524" s="717" t="s">
        <v>531</v>
      </c>
      <c r="D524" s="718" t="s">
        <v>532</v>
      </c>
      <c r="E524" s="719">
        <v>50113006</v>
      </c>
      <c r="F524" s="718" t="s">
        <v>1373</v>
      </c>
      <c r="G524" s="717" t="s">
        <v>537</v>
      </c>
      <c r="H524" s="717">
        <v>988740</v>
      </c>
      <c r="I524" s="717">
        <v>0</v>
      </c>
      <c r="J524" s="717" t="s">
        <v>1415</v>
      </c>
      <c r="K524" s="717" t="s">
        <v>520</v>
      </c>
      <c r="L524" s="720">
        <v>224.73485714285704</v>
      </c>
      <c r="M524" s="720">
        <v>280</v>
      </c>
      <c r="N524" s="721">
        <v>62925.759999999973</v>
      </c>
    </row>
    <row r="525" spans="1:14" ht="14.45" customHeight="1" x14ac:dyDescent="0.2">
      <c r="A525" s="715" t="s">
        <v>518</v>
      </c>
      <c r="B525" s="716" t="s">
        <v>519</v>
      </c>
      <c r="C525" s="717" t="s">
        <v>531</v>
      </c>
      <c r="D525" s="718" t="s">
        <v>532</v>
      </c>
      <c r="E525" s="719">
        <v>50113006</v>
      </c>
      <c r="F525" s="718" t="s">
        <v>1373</v>
      </c>
      <c r="G525" s="717" t="s">
        <v>552</v>
      </c>
      <c r="H525" s="717">
        <v>848250</v>
      </c>
      <c r="I525" s="717">
        <v>33423</v>
      </c>
      <c r="J525" s="717" t="s">
        <v>1416</v>
      </c>
      <c r="K525" s="717" t="s">
        <v>1417</v>
      </c>
      <c r="L525" s="720">
        <v>295.65266666666668</v>
      </c>
      <c r="M525" s="720">
        <v>30</v>
      </c>
      <c r="N525" s="721">
        <v>8869.58</v>
      </c>
    </row>
    <row r="526" spans="1:14" ht="14.45" customHeight="1" x14ac:dyDescent="0.2">
      <c r="A526" s="715" t="s">
        <v>518</v>
      </c>
      <c r="B526" s="716" t="s">
        <v>519</v>
      </c>
      <c r="C526" s="717" t="s">
        <v>531</v>
      </c>
      <c r="D526" s="718" t="s">
        <v>532</v>
      </c>
      <c r="E526" s="719">
        <v>50113006</v>
      </c>
      <c r="F526" s="718" t="s">
        <v>1373</v>
      </c>
      <c r="G526" s="717" t="s">
        <v>537</v>
      </c>
      <c r="H526" s="717">
        <v>994230</v>
      </c>
      <c r="I526" s="717">
        <v>0</v>
      </c>
      <c r="J526" s="717" t="s">
        <v>1418</v>
      </c>
      <c r="K526" s="717" t="s">
        <v>1396</v>
      </c>
      <c r="L526" s="720">
        <v>179.15619047619052</v>
      </c>
      <c r="M526" s="720">
        <v>63</v>
      </c>
      <c r="N526" s="721">
        <v>11286.840000000002</v>
      </c>
    </row>
    <row r="527" spans="1:14" ht="14.45" customHeight="1" x14ac:dyDescent="0.2">
      <c r="A527" s="715" t="s">
        <v>518</v>
      </c>
      <c r="B527" s="716" t="s">
        <v>519</v>
      </c>
      <c r="C527" s="717" t="s">
        <v>531</v>
      </c>
      <c r="D527" s="718" t="s">
        <v>532</v>
      </c>
      <c r="E527" s="719">
        <v>50113006</v>
      </c>
      <c r="F527" s="718" t="s">
        <v>1373</v>
      </c>
      <c r="G527" s="717" t="s">
        <v>552</v>
      </c>
      <c r="H527" s="717">
        <v>217052</v>
      </c>
      <c r="I527" s="717">
        <v>217052</v>
      </c>
      <c r="J527" s="717" t="s">
        <v>1419</v>
      </c>
      <c r="K527" s="717" t="s">
        <v>1413</v>
      </c>
      <c r="L527" s="720">
        <v>1502.2699999999998</v>
      </c>
      <c r="M527" s="720">
        <v>1</v>
      </c>
      <c r="N527" s="721">
        <v>1502.2699999999998</v>
      </c>
    </row>
    <row r="528" spans="1:14" ht="14.45" customHeight="1" x14ac:dyDescent="0.2">
      <c r="A528" s="715" t="s">
        <v>518</v>
      </c>
      <c r="B528" s="716" t="s">
        <v>519</v>
      </c>
      <c r="C528" s="717" t="s">
        <v>531</v>
      </c>
      <c r="D528" s="718" t="s">
        <v>532</v>
      </c>
      <c r="E528" s="719">
        <v>50113006</v>
      </c>
      <c r="F528" s="718" t="s">
        <v>1373</v>
      </c>
      <c r="G528" s="717" t="s">
        <v>552</v>
      </c>
      <c r="H528" s="717">
        <v>133146</v>
      </c>
      <c r="I528" s="717">
        <v>33530</v>
      </c>
      <c r="J528" s="717" t="s">
        <v>1420</v>
      </c>
      <c r="K528" s="717" t="s">
        <v>1421</v>
      </c>
      <c r="L528" s="720">
        <v>156.48999999999998</v>
      </c>
      <c r="M528" s="720">
        <v>8</v>
      </c>
      <c r="N528" s="721">
        <v>1251.9199999999998</v>
      </c>
    </row>
    <row r="529" spans="1:14" ht="14.45" customHeight="1" x14ac:dyDescent="0.2">
      <c r="A529" s="715" t="s">
        <v>518</v>
      </c>
      <c r="B529" s="716" t="s">
        <v>519</v>
      </c>
      <c r="C529" s="717" t="s">
        <v>531</v>
      </c>
      <c r="D529" s="718" t="s">
        <v>532</v>
      </c>
      <c r="E529" s="719">
        <v>50113006</v>
      </c>
      <c r="F529" s="718" t="s">
        <v>1373</v>
      </c>
      <c r="G529" s="717" t="s">
        <v>537</v>
      </c>
      <c r="H529" s="717">
        <v>994516</v>
      </c>
      <c r="I529" s="717">
        <v>0</v>
      </c>
      <c r="J529" s="717" t="s">
        <v>1422</v>
      </c>
      <c r="K529" s="717" t="s">
        <v>520</v>
      </c>
      <c r="L529" s="720">
        <v>280.89999999999992</v>
      </c>
      <c r="M529" s="720">
        <v>22</v>
      </c>
      <c r="N529" s="721">
        <v>6179.7999999999984</v>
      </c>
    </row>
    <row r="530" spans="1:14" ht="14.45" customHeight="1" x14ac:dyDescent="0.2">
      <c r="A530" s="715" t="s">
        <v>518</v>
      </c>
      <c r="B530" s="716" t="s">
        <v>519</v>
      </c>
      <c r="C530" s="717" t="s">
        <v>531</v>
      </c>
      <c r="D530" s="718" t="s">
        <v>532</v>
      </c>
      <c r="E530" s="719">
        <v>50113006</v>
      </c>
      <c r="F530" s="718" t="s">
        <v>1373</v>
      </c>
      <c r="G530" s="717" t="s">
        <v>537</v>
      </c>
      <c r="H530" s="717">
        <v>217058</v>
      </c>
      <c r="I530" s="717">
        <v>217058</v>
      </c>
      <c r="J530" s="717" t="s">
        <v>1423</v>
      </c>
      <c r="K530" s="717" t="s">
        <v>1424</v>
      </c>
      <c r="L530" s="720">
        <v>1735.2900000000004</v>
      </c>
      <c r="M530" s="720">
        <v>9</v>
      </c>
      <c r="N530" s="721">
        <v>15617.610000000004</v>
      </c>
    </row>
    <row r="531" spans="1:14" ht="14.45" customHeight="1" x14ac:dyDescent="0.2">
      <c r="A531" s="715" t="s">
        <v>518</v>
      </c>
      <c r="B531" s="716" t="s">
        <v>519</v>
      </c>
      <c r="C531" s="717" t="s">
        <v>531</v>
      </c>
      <c r="D531" s="718" t="s">
        <v>532</v>
      </c>
      <c r="E531" s="719">
        <v>50113006</v>
      </c>
      <c r="F531" s="718" t="s">
        <v>1373</v>
      </c>
      <c r="G531" s="717" t="s">
        <v>537</v>
      </c>
      <c r="H531" s="717">
        <v>993484</v>
      </c>
      <c r="I531" s="717">
        <v>0</v>
      </c>
      <c r="J531" s="717" t="s">
        <v>1425</v>
      </c>
      <c r="K531" s="717" t="s">
        <v>520</v>
      </c>
      <c r="L531" s="720">
        <v>1991.1</v>
      </c>
      <c r="M531" s="720">
        <v>8</v>
      </c>
      <c r="N531" s="721">
        <v>15928.8</v>
      </c>
    </row>
    <row r="532" spans="1:14" ht="14.45" customHeight="1" x14ac:dyDescent="0.2">
      <c r="A532" s="715" t="s">
        <v>518</v>
      </c>
      <c r="B532" s="716" t="s">
        <v>519</v>
      </c>
      <c r="C532" s="717" t="s">
        <v>531</v>
      </c>
      <c r="D532" s="718" t="s">
        <v>532</v>
      </c>
      <c r="E532" s="719">
        <v>50113006</v>
      </c>
      <c r="F532" s="718" t="s">
        <v>1373</v>
      </c>
      <c r="G532" s="717" t="s">
        <v>552</v>
      </c>
      <c r="H532" s="717">
        <v>133220</v>
      </c>
      <c r="I532" s="717">
        <v>33220</v>
      </c>
      <c r="J532" s="717" t="s">
        <v>1426</v>
      </c>
      <c r="K532" s="717" t="s">
        <v>1427</v>
      </c>
      <c r="L532" s="720">
        <v>195.99000000000007</v>
      </c>
      <c r="M532" s="720">
        <v>2</v>
      </c>
      <c r="N532" s="721">
        <v>391.98000000000013</v>
      </c>
    </row>
    <row r="533" spans="1:14" ht="14.45" customHeight="1" x14ac:dyDescent="0.2">
      <c r="A533" s="715" t="s">
        <v>518</v>
      </c>
      <c r="B533" s="716" t="s">
        <v>519</v>
      </c>
      <c r="C533" s="717" t="s">
        <v>531</v>
      </c>
      <c r="D533" s="718" t="s">
        <v>532</v>
      </c>
      <c r="E533" s="719">
        <v>50113006</v>
      </c>
      <c r="F533" s="718" t="s">
        <v>1373</v>
      </c>
      <c r="G533" s="717" t="s">
        <v>520</v>
      </c>
      <c r="H533" s="717">
        <v>217125</v>
      </c>
      <c r="I533" s="717">
        <v>217125</v>
      </c>
      <c r="J533" s="717" t="s">
        <v>1428</v>
      </c>
      <c r="K533" s="717" t="s">
        <v>1385</v>
      </c>
      <c r="L533" s="720">
        <v>146.61000000000001</v>
      </c>
      <c r="M533" s="720">
        <v>1</v>
      </c>
      <c r="N533" s="721">
        <v>146.61000000000001</v>
      </c>
    </row>
    <row r="534" spans="1:14" ht="14.45" customHeight="1" x14ac:dyDescent="0.2">
      <c r="A534" s="715" t="s">
        <v>518</v>
      </c>
      <c r="B534" s="716" t="s">
        <v>519</v>
      </c>
      <c r="C534" s="717" t="s">
        <v>531</v>
      </c>
      <c r="D534" s="718" t="s">
        <v>532</v>
      </c>
      <c r="E534" s="719">
        <v>50113006</v>
      </c>
      <c r="F534" s="718" t="s">
        <v>1373</v>
      </c>
      <c r="G534" s="717" t="s">
        <v>520</v>
      </c>
      <c r="H534" s="717">
        <v>217131</v>
      </c>
      <c r="I534" s="717">
        <v>217131</v>
      </c>
      <c r="J534" s="717" t="s">
        <v>1429</v>
      </c>
      <c r="K534" s="717" t="s">
        <v>1385</v>
      </c>
      <c r="L534" s="720">
        <v>91.990000000000009</v>
      </c>
      <c r="M534" s="720">
        <v>1</v>
      </c>
      <c r="N534" s="721">
        <v>91.990000000000009</v>
      </c>
    </row>
    <row r="535" spans="1:14" ht="14.45" customHeight="1" x14ac:dyDescent="0.2">
      <c r="A535" s="715" t="s">
        <v>518</v>
      </c>
      <c r="B535" s="716" t="s">
        <v>519</v>
      </c>
      <c r="C535" s="717" t="s">
        <v>531</v>
      </c>
      <c r="D535" s="718" t="s">
        <v>532</v>
      </c>
      <c r="E535" s="719">
        <v>50113006</v>
      </c>
      <c r="F535" s="718" t="s">
        <v>1373</v>
      </c>
      <c r="G535" s="717" t="s">
        <v>520</v>
      </c>
      <c r="H535" s="717">
        <v>217129</v>
      </c>
      <c r="I535" s="717">
        <v>217129</v>
      </c>
      <c r="J535" s="717" t="s">
        <v>1430</v>
      </c>
      <c r="K535" s="717" t="s">
        <v>1385</v>
      </c>
      <c r="L535" s="720">
        <v>91.99</v>
      </c>
      <c r="M535" s="720">
        <v>2</v>
      </c>
      <c r="N535" s="721">
        <v>183.98</v>
      </c>
    </row>
    <row r="536" spans="1:14" ht="14.45" customHeight="1" x14ac:dyDescent="0.2">
      <c r="A536" s="715" t="s">
        <v>518</v>
      </c>
      <c r="B536" s="716" t="s">
        <v>519</v>
      </c>
      <c r="C536" s="717" t="s">
        <v>531</v>
      </c>
      <c r="D536" s="718" t="s">
        <v>532</v>
      </c>
      <c r="E536" s="719">
        <v>50113006</v>
      </c>
      <c r="F536" s="718" t="s">
        <v>1373</v>
      </c>
      <c r="G536" s="717" t="s">
        <v>520</v>
      </c>
      <c r="H536" s="717">
        <v>217127</v>
      </c>
      <c r="I536" s="717">
        <v>217127</v>
      </c>
      <c r="J536" s="717" t="s">
        <v>1431</v>
      </c>
      <c r="K536" s="717" t="s">
        <v>1385</v>
      </c>
      <c r="L536" s="720">
        <v>107.59714285714287</v>
      </c>
      <c r="M536" s="720">
        <v>7</v>
      </c>
      <c r="N536" s="721">
        <v>753.18000000000006</v>
      </c>
    </row>
    <row r="537" spans="1:14" ht="14.45" customHeight="1" x14ac:dyDescent="0.2">
      <c r="A537" s="715" t="s">
        <v>518</v>
      </c>
      <c r="B537" s="716" t="s">
        <v>519</v>
      </c>
      <c r="C537" s="717" t="s">
        <v>531</v>
      </c>
      <c r="D537" s="718" t="s">
        <v>532</v>
      </c>
      <c r="E537" s="719">
        <v>50113008</v>
      </c>
      <c r="F537" s="718" t="s">
        <v>1432</v>
      </c>
      <c r="G537" s="717"/>
      <c r="H537" s="717"/>
      <c r="I537" s="717">
        <v>138455</v>
      </c>
      <c r="J537" s="717" t="s">
        <v>1433</v>
      </c>
      <c r="K537" s="717" t="s">
        <v>1434</v>
      </c>
      <c r="L537" s="720">
        <v>1068.2099609375</v>
      </c>
      <c r="M537" s="720">
        <v>30</v>
      </c>
      <c r="N537" s="721">
        <v>32046.298828125</v>
      </c>
    </row>
    <row r="538" spans="1:14" ht="14.45" customHeight="1" x14ac:dyDescent="0.2">
      <c r="A538" s="715" t="s">
        <v>518</v>
      </c>
      <c r="B538" s="716" t="s">
        <v>519</v>
      </c>
      <c r="C538" s="717" t="s">
        <v>531</v>
      </c>
      <c r="D538" s="718" t="s">
        <v>532</v>
      </c>
      <c r="E538" s="719">
        <v>50113008</v>
      </c>
      <c r="F538" s="718" t="s">
        <v>1432</v>
      </c>
      <c r="G538" s="717"/>
      <c r="H538" s="717"/>
      <c r="I538" s="717">
        <v>129056</v>
      </c>
      <c r="J538" s="717" t="s">
        <v>1435</v>
      </c>
      <c r="K538" s="717" t="s">
        <v>1436</v>
      </c>
      <c r="L538" s="720">
        <v>2168.56005859375</v>
      </c>
      <c r="M538" s="720">
        <v>10</v>
      </c>
      <c r="N538" s="721">
        <v>21685.6005859375</v>
      </c>
    </row>
    <row r="539" spans="1:14" ht="14.45" customHeight="1" x14ac:dyDescent="0.2">
      <c r="A539" s="715" t="s">
        <v>518</v>
      </c>
      <c r="B539" s="716" t="s">
        <v>519</v>
      </c>
      <c r="C539" s="717" t="s">
        <v>531</v>
      </c>
      <c r="D539" s="718" t="s">
        <v>532</v>
      </c>
      <c r="E539" s="719">
        <v>50113008</v>
      </c>
      <c r="F539" s="718" t="s">
        <v>1432</v>
      </c>
      <c r="G539" s="717"/>
      <c r="H539" s="717"/>
      <c r="I539" s="717">
        <v>29979</v>
      </c>
      <c r="J539" s="717" t="s">
        <v>1437</v>
      </c>
      <c r="K539" s="717" t="s">
        <v>1438</v>
      </c>
      <c r="L539" s="720">
        <v>5758.5</v>
      </c>
      <c r="M539" s="720">
        <v>2</v>
      </c>
      <c r="N539" s="721">
        <v>11517</v>
      </c>
    </row>
    <row r="540" spans="1:14" ht="14.45" customHeight="1" x14ac:dyDescent="0.2">
      <c r="A540" s="715" t="s">
        <v>518</v>
      </c>
      <c r="B540" s="716" t="s">
        <v>519</v>
      </c>
      <c r="C540" s="717" t="s">
        <v>531</v>
      </c>
      <c r="D540" s="718" t="s">
        <v>532</v>
      </c>
      <c r="E540" s="719">
        <v>50113008</v>
      </c>
      <c r="F540" s="718" t="s">
        <v>1432</v>
      </c>
      <c r="G540" s="717"/>
      <c r="H540" s="717"/>
      <c r="I540" s="717">
        <v>29980</v>
      </c>
      <c r="J540" s="717" t="s">
        <v>1437</v>
      </c>
      <c r="K540" s="717" t="s">
        <v>1439</v>
      </c>
      <c r="L540" s="720">
        <v>11517</v>
      </c>
      <c r="M540" s="720">
        <v>13</v>
      </c>
      <c r="N540" s="721">
        <v>149721</v>
      </c>
    </row>
    <row r="541" spans="1:14" ht="14.45" customHeight="1" x14ac:dyDescent="0.2">
      <c r="A541" s="715" t="s">
        <v>518</v>
      </c>
      <c r="B541" s="716" t="s">
        <v>519</v>
      </c>
      <c r="C541" s="717" t="s">
        <v>531</v>
      </c>
      <c r="D541" s="718" t="s">
        <v>532</v>
      </c>
      <c r="E541" s="719">
        <v>50113008</v>
      </c>
      <c r="F541" s="718" t="s">
        <v>1432</v>
      </c>
      <c r="G541" s="717"/>
      <c r="H541" s="717"/>
      <c r="I541" s="717">
        <v>173178</v>
      </c>
      <c r="J541" s="717" t="s">
        <v>1440</v>
      </c>
      <c r="K541" s="717" t="s">
        <v>1441</v>
      </c>
      <c r="L541" s="720">
        <v>14960</v>
      </c>
      <c r="M541" s="720">
        <v>2</v>
      </c>
      <c r="N541" s="721">
        <v>29920</v>
      </c>
    </row>
    <row r="542" spans="1:14" ht="14.45" customHeight="1" x14ac:dyDescent="0.2">
      <c r="A542" s="715" t="s">
        <v>518</v>
      </c>
      <c r="B542" s="716" t="s">
        <v>519</v>
      </c>
      <c r="C542" s="717" t="s">
        <v>531</v>
      </c>
      <c r="D542" s="718" t="s">
        <v>532</v>
      </c>
      <c r="E542" s="719">
        <v>50113008</v>
      </c>
      <c r="F542" s="718" t="s">
        <v>1432</v>
      </c>
      <c r="G542" s="717"/>
      <c r="H542" s="717"/>
      <c r="I542" s="717">
        <v>173179</v>
      </c>
      <c r="J542" s="717" t="s">
        <v>1440</v>
      </c>
      <c r="K542" s="717" t="s">
        <v>1442</v>
      </c>
      <c r="L542" s="720">
        <v>7463.5</v>
      </c>
      <c r="M542" s="720">
        <v>4</v>
      </c>
      <c r="N542" s="721">
        <v>29854</v>
      </c>
    </row>
    <row r="543" spans="1:14" ht="14.45" customHeight="1" x14ac:dyDescent="0.2">
      <c r="A543" s="715" t="s">
        <v>518</v>
      </c>
      <c r="B543" s="716" t="s">
        <v>519</v>
      </c>
      <c r="C543" s="717" t="s">
        <v>531</v>
      </c>
      <c r="D543" s="718" t="s">
        <v>532</v>
      </c>
      <c r="E543" s="719">
        <v>50113008</v>
      </c>
      <c r="F543" s="718" t="s">
        <v>1432</v>
      </c>
      <c r="G543" s="717"/>
      <c r="H543" s="717"/>
      <c r="I543" s="717">
        <v>62464</v>
      </c>
      <c r="J543" s="717" t="s">
        <v>1443</v>
      </c>
      <c r="K543" s="717" t="s">
        <v>1444</v>
      </c>
      <c r="L543" s="720">
        <v>9157.759765625</v>
      </c>
      <c r="M543" s="720">
        <v>78</v>
      </c>
      <c r="N543" s="721">
        <v>714305.26171875</v>
      </c>
    </row>
    <row r="544" spans="1:14" ht="14.45" customHeight="1" x14ac:dyDescent="0.2">
      <c r="A544" s="715" t="s">
        <v>518</v>
      </c>
      <c r="B544" s="716" t="s">
        <v>519</v>
      </c>
      <c r="C544" s="717" t="s">
        <v>531</v>
      </c>
      <c r="D544" s="718" t="s">
        <v>532</v>
      </c>
      <c r="E544" s="719">
        <v>50113008</v>
      </c>
      <c r="F544" s="718" t="s">
        <v>1432</v>
      </c>
      <c r="G544" s="717"/>
      <c r="H544" s="717"/>
      <c r="I544" s="717">
        <v>62465</v>
      </c>
      <c r="J544" s="717" t="s">
        <v>1443</v>
      </c>
      <c r="K544" s="717" t="s">
        <v>1445</v>
      </c>
      <c r="L544" s="720">
        <v>17457.19921875</v>
      </c>
      <c r="M544" s="720">
        <v>12</v>
      </c>
      <c r="N544" s="721">
        <v>209486.390625</v>
      </c>
    </row>
    <row r="545" spans="1:14" ht="14.45" customHeight="1" x14ac:dyDescent="0.2">
      <c r="A545" s="715" t="s">
        <v>518</v>
      </c>
      <c r="B545" s="716" t="s">
        <v>519</v>
      </c>
      <c r="C545" s="717" t="s">
        <v>531</v>
      </c>
      <c r="D545" s="718" t="s">
        <v>532</v>
      </c>
      <c r="E545" s="719">
        <v>50113008</v>
      </c>
      <c r="F545" s="718" t="s">
        <v>1432</v>
      </c>
      <c r="G545" s="717"/>
      <c r="H545" s="717"/>
      <c r="I545" s="717">
        <v>205966</v>
      </c>
      <c r="J545" s="717" t="s">
        <v>1446</v>
      </c>
      <c r="K545" s="717" t="s">
        <v>1434</v>
      </c>
      <c r="L545" s="720">
        <v>1037.6600260416667</v>
      </c>
      <c r="M545" s="720">
        <v>30</v>
      </c>
      <c r="N545" s="721">
        <v>31129.80078125</v>
      </c>
    </row>
    <row r="546" spans="1:14" ht="14.45" customHeight="1" x14ac:dyDescent="0.2">
      <c r="A546" s="715" t="s">
        <v>518</v>
      </c>
      <c r="B546" s="716" t="s">
        <v>519</v>
      </c>
      <c r="C546" s="717" t="s">
        <v>531</v>
      </c>
      <c r="D546" s="718" t="s">
        <v>532</v>
      </c>
      <c r="E546" s="719">
        <v>50113008</v>
      </c>
      <c r="F546" s="718" t="s">
        <v>1432</v>
      </c>
      <c r="G546" s="717"/>
      <c r="H546" s="717"/>
      <c r="I546" s="717">
        <v>230687</v>
      </c>
      <c r="J546" s="717" t="s">
        <v>1447</v>
      </c>
      <c r="K546" s="717" t="s">
        <v>1448</v>
      </c>
      <c r="L546" s="720">
        <v>4305.39990234375</v>
      </c>
      <c r="M546" s="720">
        <v>20</v>
      </c>
      <c r="N546" s="721">
        <v>86107.998046875</v>
      </c>
    </row>
    <row r="547" spans="1:14" ht="14.45" customHeight="1" x14ac:dyDescent="0.2">
      <c r="A547" s="715" t="s">
        <v>518</v>
      </c>
      <c r="B547" s="716" t="s">
        <v>519</v>
      </c>
      <c r="C547" s="717" t="s">
        <v>531</v>
      </c>
      <c r="D547" s="718" t="s">
        <v>532</v>
      </c>
      <c r="E547" s="719">
        <v>50113008</v>
      </c>
      <c r="F547" s="718" t="s">
        <v>1432</v>
      </c>
      <c r="G547" s="717"/>
      <c r="H547" s="717"/>
      <c r="I547" s="717">
        <v>6480</v>
      </c>
      <c r="J547" s="717" t="s">
        <v>1447</v>
      </c>
      <c r="K547" s="717" t="s">
        <v>1448</v>
      </c>
      <c r="L547" s="720">
        <v>4305.39990234375</v>
      </c>
      <c r="M547" s="720">
        <v>5</v>
      </c>
      <c r="N547" s="721">
        <v>21526.99951171875</v>
      </c>
    </row>
    <row r="548" spans="1:14" ht="14.45" customHeight="1" x14ac:dyDescent="0.2">
      <c r="A548" s="715" t="s">
        <v>518</v>
      </c>
      <c r="B548" s="716" t="s">
        <v>519</v>
      </c>
      <c r="C548" s="717" t="s">
        <v>531</v>
      </c>
      <c r="D548" s="718" t="s">
        <v>532</v>
      </c>
      <c r="E548" s="719">
        <v>50113008</v>
      </c>
      <c r="F548" s="718" t="s">
        <v>1432</v>
      </c>
      <c r="G548" s="717"/>
      <c r="H548" s="717"/>
      <c r="I548" s="717">
        <v>212531</v>
      </c>
      <c r="J548" s="717" t="s">
        <v>1447</v>
      </c>
      <c r="K548" s="717" t="s">
        <v>1449</v>
      </c>
      <c r="L548" s="720">
        <v>8610.7998046875</v>
      </c>
      <c r="M548" s="720">
        <v>1</v>
      </c>
      <c r="N548" s="721">
        <v>8610.7998046875</v>
      </c>
    </row>
    <row r="549" spans="1:14" ht="14.45" customHeight="1" x14ac:dyDescent="0.2">
      <c r="A549" s="715" t="s">
        <v>518</v>
      </c>
      <c r="B549" s="716" t="s">
        <v>519</v>
      </c>
      <c r="C549" s="717" t="s">
        <v>531</v>
      </c>
      <c r="D549" s="718" t="s">
        <v>532</v>
      </c>
      <c r="E549" s="719">
        <v>50113008</v>
      </c>
      <c r="F549" s="718" t="s">
        <v>1432</v>
      </c>
      <c r="G549" s="717"/>
      <c r="H549" s="717"/>
      <c r="I549" s="717">
        <v>230686</v>
      </c>
      <c r="J549" s="717" t="s">
        <v>1447</v>
      </c>
      <c r="K549" s="717" t="s">
        <v>1449</v>
      </c>
      <c r="L549" s="720">
        <v>8610.7998046875</v>
      </c>
      <c r="M549" s="720">
        <v>13</v>
      </c>
      <c r="N549" s="721">
        <v>111940.3974609375</v>
      </c>
    </row>
    <row r="550" spans="1:14" ht="14.45" customHeight="1" x14ac:dyDescent="0.2">
      <c r="A550" s="715" t="s">
        <v>518</v>
      </c>
      <c r="B550" s="716" t="s">
        <v>519</v>
      </c>
      <c r="C550" s="717" t="s">
        <v>531</v>
      </c>
      <c r="D550" s="718" t="s">
        <v>532</v>
      </c>
      <c r="E550" s="719">
        <v>50113011</v>
      </c>
      <c r="F550" s="718" t="s">
        <v>1450</v>
      </c>
      <c r="G550" s="717"/>
      <c r="H550" s="717"/>
      <c r="I550" s="717">
        <v>158152</v>
      </c>
      <c r="J550" s="717" t="s">
        <v>1451</v>
      </c>
      <c r="K550" s="717" t="s">
        <v>1434</v>
      </c>
      <c r="L550" s="720">
        <v>913.27003417968751</v>
      </c>
      <c r="M550" s="720">
        <v>250</v>
      </c>
      <c r="N550" s="721">
        <v>228317.50854492188</v>
      </c>
    </row>
    <row r="551" spans="1:14" ht="14.45" customHeight="1" x14ac:dyDescent="0.2">
      <c r="A551" s="715" t="s">
        <v>518</v>
      </c>
      <c r="B551" s="716" t="s">
        <v>519</v>
      </c>
      <c r="C551" s="717" t="s">
        <v>531</v>
      </c>
      <c r="D551" s="718" t="s">
        <v>532</v>
      </c>
      <c r="E551" s="719">
        <v>50113011</v>
      </c>
      <c r="F551" s="718" t="s">
        <v>1450</v>
      </c>
      <c r="G551" s="717"/>
      <c r="H551" s="717"/>
      <c r="I551" s="717">
        <v>87240</v>
      </c>
      <c r="J551" s="717" t="s">
        <v>1452</v>
      </c>
      <c r="K551" s="717" t="s">
        <v>1453</v>
      </c>
      <c r="L551" s="720">
        <v>7700</v>
      </c>
      <c r="M551" s="720">
        <v>10</v>
      </c>
      <c r="N551" s="721">
        <v>77000</v>
      </c>
    </row>
    <row r="552" spans="1:14" ht="14.45" customHeight="1" x14ac:dyDescent="0.2">
      <c r="A552" s="715" t="s">
        <v>518</v>
      </c>
      <c r="B552" s="716" t="s">
        <v>519</v>
      </c>
      <c r="C552" s="717" t="s">
        <v>531</v>
      </c>
      <c r="D552" s="718" t="s">
        <v>532</v>
      </c>
      <c r="E552" s="719">
        <v>50113011</v>
      </c>
      <c r="F552" s="718" t="s">
        <v>1450</v>
      </c>
      <c r="G552" s="717"/>
      <c r="H552" s="717"/>
      <c r="I552" s="717">
        <v>87239</v>
      </c>
      <c r="J552" s="717" t="s">
        <v>1452</v>
      </c>
      <c r="K552" s="717" t="s">
        <v>1454</v>
      </c>
      <c r="L552" s="720">
        <v>3850</v>
      </c>
      <c r="M552" s="720">
        <v>8</v>
      </c>
      <c r="N552" s="721">
        <v>30800</v>
      </c>
    </row>
    <row r="553" spans="1:14" ht="14.45" customHeight="1" x14ac:dyDescent="0.2">
      <c r="A553" s="715" t="s">
        <v>518</v>
      </c>
      <c r="B553" s="716" t="s">
        <v>519</v>
      </c>
      <c r="C553" s="717" t="s">
        <v>531</v>
      </c>
      <c r="D553" s="718" t="s">
        <v>532</v>
      </c>
      <c r="E553" s="719">
        <v>50113013</v>
      </c>
      <c r="F553" s="718" t="s">
        <v>1455</v>
      </c>
      <c r="G553" s="717" t="s">
        <v>552</v>
      </c>
      <c r="H553" s="717">
        <v>194155</v>
      </c>
      <c r="I553" s="717">
        <v>94155</v>
      </c>
      <c r="J553" s="717" t="s">
        <v>1456</v>
      </c>
      <c r="K553" s="717" t="s">
        <v>1457</v>
      </c>
      <c r="L553" s="720">
        <v>323.08585365853662</v>
      </c>
      <c r="M553" s="720">
        <v>4.0999999999999996</v>
      </c>
      <c r="N553" s="721">
        <v>1324.652</v>
      </c>
    </row>
    <row r="554" spans="1:14" ht="14.45" customHeight="1" x14ac:dyDescent="0.2">
      <c r="A554" s="715" t="s">
        <v>518</v>
      </c>
      <c r="B554" s="716" t="s">
        <v>519</v>
      </c>
      <c r="C554" s="717" t="s">
        <v>531</v>
      </c>
      <c r="D554" s="718" t="s">
        <v>532</v>
      </c>
      <c r="E554" s="719">
        <v>50113013</v>
      </c>
      <c r="F554" s="718" t="s">
        <v>1455</v>
      </c>
      <c r="G554" s="717" t="s">
        <v>552</v>
      </c>
      <c r="H554" s="717">
        <v>195147</v>
      </c>
      <c r="I554" s="717">
        <v>195147</v>
      </c>
      <c r="J554" s="717" t="s">
        <v>1458</v>
      </c>
      <c r="K554" s="717" t="s">
        <v>1459</v>
      </c>
      <c r="L554" s="720">
        <v>631.97758620689672</v>
      </c>
      <c r="M554" s="720">
        <v>14.5</v>
      </c>
      <c r="N554" s="721">
        <v>9163.6750000000029</v>
      </c>
    </row>
    <row r="555" spans="1:14" ht="14.45" customHeight="1" x14ac:dyDescent="0.2">
      <c r="A555" s="715" t="s">
        <v>518</v>
      </c>
      <c r="B555" s="716" t="s">
        <v>519</v>
      </c>
      <c r="C555" s="717" t="s">
        <v>531</v>
      </c>
      <c r="D555" s="718" t="s">
        <v>532</v>
      </c>
      <c r="E555" s="719">
        <v>50113013</v>
      </c>
      <c r="F555" s="718" t="s">
        <v>1455</v>
      </c>
      <c r="G555" s="717" t="s">
        <v>537</v>
      </c>
      <c r="H555" s="717">
        <v>172972</v>
      </c>
      <c r="I555" s="717">
        <v>72972</v>
      </c>
      <c r="J555" s="717" t="s">
        <v>1460</v>
      </c>
      <c r="K555" s="717" t="s">
        <v>1461</v>
      </c>
      <c r="L555" s="720">
        <v>191.31457412105917</v>
      </c>
      <c r="M555" s="720">
        <v>551.79999999999927</v>
      </c>
      <c r="N555" s="721">
        <v>105567.3820000003</v>
      </c>
    </row>
    <row r="556" spans="1:14" ht="14.45" customHeight="1" x14ac:dyDescent="0.2">
      <c r="A556" s="715" t="s">
        <v>518</v>
      </c>
      <c r="B556" s="716" t="s">
        <v>519</v>
      </c>
      <c r="C556" s="717" t="s">
        <v>531</v>
      </c>
      <c r="D556" s="718" t="s">
        <v>532</v>
      </c>
      <c r="E556" s="719">
        <v>50113013</v>
      </c>
      <c r="F556" s="718" t="s">
        <v>1455</v>
      </c>
      <c r="G556" s="717" t="s">
        <v>537</v>
      </c>
      <c r="H556" s="717">
        <v>201961</v>
      </c>
      <c r="I556" s="717">
        <v>201961</v>
      </c>
      <c r="J556" s="717" t="s">
        <v>1462</v>
      </c>
      <c r="K556" s="717" t="s">
        <v>1463</v>
      </c>
      <c r="L556" s="720">
        <v>319.83230769230767</v>
      </c>
      <c r="M556" s="720">
        <v>13</v>
      </c>
      <c r="N556" s="721">
        <v>4157.82</v>
      </c>
    </row>
    <row r="557" spans="1:14" ht="14.45" customHeight="1" x14ac:dyDescent="0.2">
      <c r="A557" s="715" t="s">
        <v>518</v>
      </c>
      <c r="B557" s="716" t="s">
        <v>519</v>
      </c>
      <c r="C557" s="717" t="s">
        <v>531</v>
      </c>
      <c r="D557" s="718" t="s">
        <v>532</v>
      </c>
      <c r="E557" s="719">
        <v>50113013</v>
      </c>
      <c r="F557" s="718" t="s">
        <v>1455</v>
      </c>
      <c r="G557" s="717" t="s">
        <v>537</v>
      </c>
      <c r="H557" s="717">
        <v>136083</v>
      </c>
      <c r="I557" s="717">
        <v>136083</v>
      </c>
      <c r="J557" s="717" t="s">
        <v>1464</v>
      </c>
      <c r="K557" s="717" t="s">
        <v>1465</v>
      </c>
      <c r="L557" s="720">
        <v>411.54764705882332</v>
      </c>
      <c r="M557" s="720">
        <v>47.6</v>
      </c>
      <c r="N557" s="721">
        <v>19589.667999999991</v>
      </c>
    </row>
    <row r="558" spans="1:14" ht="14.45" customHeight="1" x14ac:dyDescent="0.2">
      <c r="A558" s="715" t="s">
        <v>518</v>
      </c>
      <c r="B558" s="716" t="s">
        <v>519</v>
      </c>
      <c r="C558" s="717" t="s">
        <v>531</v>
      </c>
      <c r="D558" s="718" t="s">
        <v>532</v>
      </c>
      <c r="E558" s="719">
        <v>50113013</v>
      </c>
      <c r="F558" s="718" t="s">
        <v>1455</v>
      </c>
      <c r="G558" s="717" t="s">
        <v>537</v>
      </c>
      <c r="H558" s="717">
        <v>498791</v>
      </c>
      <c r="I558" s="717">
        <v>9999999</v>
      </c>
      <c r="J558" s="717" t="s">
        <v>1466</v>
      </c>
      <c r="K558" s="717" t="s">
        <v>1467</v>
      </c>
      <c r="L558" s="720">
        <v>1316.8650000000002</v>
      </c>
      <c r="M558" s="720">
        <v>6.04</v>
      </c>
      <c r="N558" s="721">
        <v>7953.8646000000008</v>
      </c>
    </row>
    <row r="559" spans="1:14" ht="14.45" customHeight="1" x14ac:dyDescent="0.2">
      <c r="A559" s="715" t="s">
        <v>518</v>
      </c>
      <c r="B559" s="716" t="s">
        <v>519</v>
      </c>
      <c r="C559" s="717" t="s">
        <v>531</v>
      </c>
      <c r="D559" s="718" t="s">
        <v>532</v>
      </c>
      <c r="E559" s="719">
        <v>50113013</v>
      </c>
      <c r="F559" s="718" t="s">
        <v>1455</v>
      </c>
      <c r="G559" s="717" t="s">
        <v>520</v>
      </c>
      <c r="H559" s="717">
        <v>183817</v>
      </c>
      <c r="I559" s="717">
        <v>183817</v>
      </c>
      <c r="J559" s="717" t="s">
        <v>1468</v>
      </c>
      <c r="K559" s="717" t="s">
        <v>1469</v>
      </c>
      <c r="L559" s="720">
        <v>1284.250480480481</v>
      </c>
      <c r="M559" s="720">
        <v>66.599999999999994</v>
      </c>
      <c r="N559" s="721">
        <v>85531.082000000024</v>
      </c>
    </row>
    <row r="560" spans="1:14" ht="14.45" customHeight="1" x14ac:dyDescent="0.2">
      <c r="A560" s="715" t="s">
        <v>518</v>
      </c>
      <c r="B560" s="716" t="s">
        <v>519</v>
      </c>
      <c r="C560" s="717" t="s">
        <v>531</v>
      </c>
      <c r="D560" s="718" t="s">
        <v>532</v>
      </c>
      <c r="E560" s="719">
        <v>50113013</v>
      </c>
      <c r="F560" s="718" t="s">
        <v>1455</v>
      </c>
      <c r="G560" s="717" t="s">
        <v>552</v>
      </c>
      <c r="H560" s="717">
        <v>164831</v>
      </c>
      <c r="I560" s="717">
        <v>64831</v>
      </c>
      <c r="J560" s="717" t="s">
        <v>1470</v>
      </c>
      <c r="K560" s="717" t="s">
        <v>1471</v>
      </c>
      <c r="L560" s="720">
        <v>270.65556122448982</v>
      </c>
      <c r="M560" s="720">
        <v>19.599999999999998</v>
      </c>
      <c r="N560" s="721">
        <v>5304.8490000000002</v>
      </c>
    </row>
    <row r="561" spans="1:14" ht="14.45" customHeight="1" x14ac:dyDescent="0.2">
      <c r="A561" s="715" t="s">
        <v>518</v>
      </c>
      <c r="B561" s="716" t="s">
        <v>519</v>
      </c>
      <c r="C561" s="717" t="s">
        <v>531</v>
      </c>
      <c r="D561" s="718" t="s">
        <v>532</v>
      </c>
      <c r="E561" s="719">
        <v>50113013</v>
      </c>
      <c r="F561" s="718" t="s">
        <v>1455</v>
      </c>
      <c r="G561" s="717" t="s">
        <v>552</v>
      </c>
      <c r="H561" s="717">
        <v>164835</v>
      </c>
      <c r="I561" s="717">
        <v>64835</v>
      </c>
      <c r="J561" s="717" t="s">
        <v>1472</v>
      </c>
      <c r="K561" s="717" t="s">
        <v>1473</v>
      </c>
      <c r="L561" s="720">
        <v>143.66</v>
      </c>
      <c r="M561" s="720">
        <v>4.0999999999999996</v>
      </c>
      <c r="N561" s="721">
        <v>589.00599999999997</v>
      </c>
    </row>
    <row r="562" spans="1:14" ht="14.45" customHeight="1" x14ac:dyDescent="0.2">
      <c r="A562" s="715" t="s">
        <v>518</v>
      </c>
      <c r="B562" s="716" t="s">
        <v>519</v>
      </c>
      <c r="C562" s="717" t="s">
        <v>531</v>
      </c>
      <c r="D562" s="718" t="s">
        <v>532</v>
      </c>
      <c r="E562" s="719">
        <v>50113013</v>
      </c>
      <c r="F562" s="718" t="s">
        <v>1455</v>
      </c>
      <c r="G562" s="717" t="s">
        <v>537</v>
      </c>
      <c r="H562" s="717">
        <v>183926</v>
      </c>
      <c r="I562" s="717">
        <v>183926</v>
      </c>
      <c r="J562" s="717" t="s">
        <v>1474</v>
      </c>
      <c r="K562" s="717" t="s">
        <v>1469</v>
      </c>
      <c r="L562" s="720">
        <v>136.01231270358301</v>
      </c>
      <c r="M562" s="720">
        <v>30.7</v>
      </c>
      <c r="N562" s="721">
        <v>4175.5779999999986</v>
      </c>
    </row>
    <row r="563" spans="1:14" ht="14.45" customHeight="1" x14ac:dyDescent="0.2">
      <c r="A563" s="715" t="s">
        <v>518</v>
      </c>
      <c r="B563" s="716" t="s">
        <v>519</v>
      </c>
      <c r="C563" s="717" t="s">
        <v>531</v>
      </c>
      <c r="D563" s="718" t="s">
        <v>532</v>
      </c>
      <c r="E563" s="719">
        <v>50113013</v>
      </c>
      <c r="F563" s="718" t="s">
        <v>1455</v>
      </c>
      <c r="G563" s="717" t="s">
        <v>537</v>
      </c>
      <c r="H563" s="717">
        <v>193921</v>
      </c>
      <c r="I563" s="717">
        <v>93921</v>
      </c>
      <c r="J563" s="717" t="s">
        <v>1475</v>
      </c>
      <c r="K563" s="717" t="s">
        <v>1476</v>
      </c>
      <c r="L563" s="720">
        <v>228.13999999999996</v>
      </c>
      <c r="M563" s="720">
        <v>1</v>
      </c>
      <c r="N563" s="721">
        <v>228.13999999999996</v>
      </c>
    </row>
    <row r="564" spans="1:14" ht="14.45" customHeight="1" x14ac:dyDescent="0.2">
      <c r="A564" s="715" t="s">
        <v>518</v>
      </c>
      <c r="B564" s="716" t="s">
        <v>519</v>
      </c>
      <c r="C564" s="717" t="s">
        <v>531</v>
      </c>
      <c r="D564" s="718" t="s">
        <v>532</v>
      </c>
      <c r="E564" s="719">
        <v>50113013</v>
      </c>
      <c r="F564" s="718" t="s">
        <v>1455</v>
      </c>
      <c r="G564" s="717" t="s">
        <v>537</v>
      </c>
      <c r="H564" s="717">
        <v>111706</v>
      </c>
      <c r="I564" s="717">
        <v>11706</v>
      </c>
      <c r="J564" s="717" t="s">
        <v>1477</v>
      </c>
      <c r="K564" s="717" t="s">
        <v>1248</v>
      </c>
      <c r="L564" s="720">
        <v>525.64399999999989</v>
      </c>
      <c r="M564" s="720">
        <v>35</v>
      </c>
      <c r="N564" s="721">
        <v>18397.539999999997</v>
      </c>
    </row>
    <row r="565" spans="1:14" ht="14.45" customHeight="1" x14ac:dyDescent="0.2">
      <c r="A565" s="715" t="s">
        <v>518</v>
      </c>
      <c r="B565" s="716" t="s">
        <v>519</v>
      </c>
      <c r="C565" s="717" t="s">
        <v>531</v>
      </c>
      <c r="D565" s="718" t="s">
        <v>532</v>
      </c>
      <c r="E565" s="719">
        <v>50113013</v>
      </c>
      <c r="F565" s="718" t="s">
        <v>1455</v>
      </c>
      <c r="G565" s="717" t="s">
        <v>537</v>
      </c>
      <c r="H565" s="717">
        <v>131654</v>
      </c>
      <c r="I565" s="717">
        <v>131654</v>
      </c>
      <c r="J565" s="717" t="s">
        <v>1478</v>
      </c>
      <c r="K565" s="717" t="s">
        <v>1479</v>
      </c>
      <c r="L565" s="720">
        <v>264</v>
      </c>
      <c r="M565" s="720">
        <v>4</v>
      </c>
      <c r="N565" s="721">
        <v>1056</v>
      </c>
    </row>
    <row r="566" spans="1:14" ht="14.45" customHeight="1" x14ac:dyDescent="0.2">
      <c r="A566" s="715" t="s">
        <v>518</v>
      </c>
      <c r="B566" s="716" t="s">
        <v>519</v>
      </c>
      <c r="C566" s="717" t="s">
        <v>531</v>
      </c>
      <c r="D566" s="718" t="s">
        <v>532</v>
      </c>
      <c r="E566" s="719">
        <v>50113013</v>
      </c>
      <c r="F566" s="718" t="s">
        <v>1455</v>
      </c>
      <c r="G566" s="717" t="s">
        <v>537</v>
      </c>
      <c r="H566" s="717">
        <v>131656</v>
      </c>
      <c r="I566" s="717">
        <v>131656</v>
      </c>
      <c r="J566" s="717" t="s">
        <v>1480</v>
      </c>
      <c r="K566" s="717" t="s">
        <v>1481</v>
      </c>
      <c r="L566" s="720">
        <v>517</v>
      </c>
      <c r="M566" s="720">
        <v>20.7</v>
      </c>
      <c r="N566" s="721">
        <v>10701.9</v>
      </c>
    </row>
    <row r="567" spans="1:14" ht="14.45" customHeight="1" x14ac:dyDescent="0.2">
      <c r="A567" s="715" t="s">
        <v>518</v>
      </c>
      <c r="B567" s="716" t="s">
        <v>519</v>
      </c>
      <c r="C567" s="717" t="s">
        <v>531</v>
      </c>
      <c r="D567" s="718" t="s">
        <v>532</v>
      </c>
      <c r="E567" s="719">
        <v>50113013</v>
      </c>
      <c r="F567" s="718" t="s">
        <v>1455</v>
      </c>
      <c r="G567" s="717" t="s">
        <v>520</v>
      </c>
      <c r="H567" s="717">
        <v>121240</v>
      </c>
      <c r="I567" s="717">
        <v>121240</v>
      </c>
      <c r="J567" s="717" t="s">
        <v>1482</v>
      </c>
      <c r="K567" s="717" t="s">
        <v>1483</v>
      </c>
      <c r="L567" s="720">
        <v>373.99998523822461</v>
      </c>
      <c r="M567" s="720">
        <v>1.1000000000000001</v>
      </c>
      <c r="N567" s="721">
        <v>411.3999837620471</v>
      </c>
    </row>
    <row r="568" spans="1:14" ht="14.45" customHeight="1" x14ac:dyDescent="0.2">
      <c r="A568" s="715" t="s">
        <v>518</v>
      </c>
      <c r="B568" s="716" t="s">
        <v>519</v>
      </c>
      <c r="C568" s="717" t="s">
        <v>531</v>
      </c>
      <c r="D568" s="718" t="s">
        <v>532</v>
      </c>
      <c r="E568" s="719">
        <v>50113013</v>
      </c>
      <c r="F568" s="718" t="s">
        <v>1455</v>
      </c>
      <c r="G568" s="717" t="s">
        <v>552</v>
      </c>
      <c r="H568" s="717">
        <v>182977</v>
      </c>
      <c r="I568" s="717">
        <v>182977</v>
      </c>
      <c r="J568" s="717" t="s">
        <v>1484</v>
      </c>
      <c r="K568" s="717" t="s">
        <v>1469</v>
      </c>
      <c r="L568" s="720">
        <v>140.03</v>
      </c>
      <c r="M568" s="720">
        <v>0.5</v>
      </c>
      <c r="N568" s="721">
        <v>70.015000000000001</v>
      </c>
    </row>
    <row r="569" spans="1:14" ht="14.45" customHeight="1" x14ac:dyDescent="0.2">
      <c r="A569" s="715" t="s">
        <v>518</v>
      </c>
      <c r="B569" s="716" t="s">
        <v>519</v>
      </c>
      <c r="C569" s="717" t="s">
        <v>531</v>
      </c>
      <c r="D569" s="718" t="s">
        <v>532</v>
      </c>
      <c r="E569" s="719">
        <v>50113013</v>
      </c>
      <c r="F569" s="718" t="s">
        <v>1455</v>
      </c>
      <c r="G569" s="717" t="s">
        <v>537</v>
      </c>
      <c r="H569" s="717">
        <v>108606</v>
      </c>
      <c r="I569" s="717">
        <v>108606</v>
      </c>
      <c r="J569" s="717" t="s">
        <v>1485</v>
      </c>
      <c r="K569" s="717" t="s">
        <v>1486</v>
      </c>
      <c r="L569" s="720">
        <v>73.534999999999997</v>
      </c>
      <c r="M569" s="720">
        <v>2</v>
      </c>
      <c r="N569" s="721">
        <v>147.07</v>
      </c>
    </row>
    <row r="570" spans="1:14" ht="14.45" customHeight="1" x14ac:dyDescent="0.2">
      <c r="A570" s="715" t="s">
        <v>518</v>
      </c>
      <c r="B570" s="716" t="s">
        <v>519</v>
      </c>
      <c r="C570" s="717" t="s">
        <v>531</v>
      </c>
      <c r="D570" s="718" t="s">
        <v>532</v>
      </c>
      <c r="E570" s="719">
        <v>50113013</v>
      </c>
      <c r="F570" s="718" t="s">
        <v>1455</v>
      </c>
      <c r="G570" s="717" t="s">
        <v>537</v>
      </c>
      <c r="H570" s="717">
        <v>87104</v>
      </c>
      <c r="I570" s="717">
        <v>87104</v>
      </c>
      <c r="J570" s="717" t="s">
        <v>1485</v>
      </c>
      <c r="K570" s="717" t="s">
        <v>1487</v>
      </c>
      <c r="L570" s="720">
        <v>44.45000000000001</v>
      </c>
      <c r="M570" s="720">
        <v>1</v>
      </c>
      <c r="N570" s="721">
        <v>44.45000000000001</v>
      </c>
    </row>
    <row r="571" spans="1:14" ht="14.45" customHeight="1" x14ac:dyDescent="0.2">
      <c r="A571" s="715" t="s">
        <v>518</v>
      </c>
      <c r="B571" s="716" t="s">
        <v>519</v>
      </c>
      <c r="C571" s="717" t="s">
        <v>531</v>
      </c>
      <c r="D571" s="718" t="s">
        <v>532</v>
      </c>
      <c r="E571" s="719">
        <v>50113013</v>
      </c>
      <c r="F571" s="718" t="s">
        <v>1455</v>
      </c>
      <c r="G571" s="717" t="s">
        <v>537</v>
      </c>
      <c r="H571" s="717">
        <v>162180</v>
      </c>
      <c r="I571" s="717">
        <v>162180</v>
      </c>
      <c r="J571" s="717" t="s">
        <v>1488</v>
      </c>
      <c r="K571" s="717" t="s">
        <v>1489</v>
      </c>
      <c r="L571" s="720">
        <v>229.53333333333333</v>
      </c>
      <c r="M571" s="720">
        <v>2.7</v>
      </c>
      <c r="N571" s="721">
        <v>619.74</v>
      </c>
    </row>
    <row r="572" spans="1:14" ht="14.45" customHeight="1" x14ac:dyDescent="0.2">
      <c r="A572" s="715" t="s">
        <v>518</v>
      </c>
      <c r="B572" s="716" t="s">
        <v>519</v>
      </c>
      <c r="C572" s="717" t="s">
        <v>531</v>
      </c>
      <c r="D572" s="718" t="s">
        <v>532</v>
      </c>
      <c r="E572" s="719">
        <v>50113013</v>
      </c>
      <c r="F572" s="718" t="s">
        <v>1455</v>
      </c>
      <c r="G572" s="717" t="s">
        <v>537</v>
      </c>
      <c r="H572" s="717">
        <v>162187</v>
      </c>
      <c r="I572" s="717">
        <v>162187</v>
      </c>
      <c r="J572" s="717" t="s">
        <v>1490</v>
      </c>
      <c r="K572" s="717" t="s">
        <v>1491</v>
      </c>
      <c r="L572" s="720">
        <v>528.44594295012405</v>
      </c>
      <c r="M572" s="720">
        <v>37.000000000000007</v>
      </c>
      <c r="N572" s="721">
        <v>19552.499889154595</v>
      </c>
    </row>
    <row r="573" spans="1:14" ht="14.45" customHeight="1" x14ac:dyDescent="0.2">
      <c r="A573" s="715" t="s">
        <v>518</v>
      </c>
      <c r="B573" s="716" t="s">
        <v>519</v>
      </c>
      <c r="C573" s="717" t="s">
        <v>531</v>
      </c>
      <c r="D573" s="718" t="s">
        <v>532</v>
      </c>
      <c r="E573" s="719">
        <v>50113013</v>
      </c>
      <c r="F573" s="718" t="s">
        <v>1455</v>
      </c>
      <c r="G573" s="717" t="s">
        <v>552</v>
      </c>
      <c r="H573" s="717">
        <v>849655</v>
      </c>
      <c r="I573" s="717">
        <v>129836</v>
      </c>
      <c r="J573" s="717" t="s">
        <v>1492</v>
      </c>
      <c r="K573" s="717" t="s">
        <v>1493</v>
      </c>
      <c r="L573" s="720">
        <v>263.67136929460565</v>
      </c>
      <c r="M573" s="720">
        <v>24.099999999999998</v>
      </c>
      <c r="N573" s="721">
        <v>6354.4799999999959</v>
      </c>
    </row>
    <row r="574" spans="1:14" ht="14.45" customHeight="1" x14ac:dyDescent="0.2">
      <c r="A574" s="715" t="s">
        <v>518</v>
      </c>
      <c r="B574" s="716" t="s">
        <v>519</v>
      </c>
      <c r="C574" s="717" t="s">
        <v>531</v>
      </c>
      <c r="D574" s="718" t="s">
        <v>532</v>
      </c>
      <c r="E574" s="719">
        <v>50113013</v>
      </c>
      <c r="F574" s="718" t="s">
        <v>1455</v>
      </c>
      <c r="G574" s="717" t="s">
        <v>552</v>
      </c>
      <c r="H574" s="717">
        <v>849887</v>
      </c>
      <c r="I574" s="717">
        <v>129834</v>
      </c>
      <c r="J574" s="717" t="s">
        <v>1494</v>
      </c>
      <c r="K574" s="717" t="s">
        <v>520</v>
      </c>
      <c r="L574" s="720">
        <v>152.58064516129031</v>
      </c>
      <c r="M574" s="720">
        <v>18.600000000000001</v>
      </c>
      <c r="N574" s="721">
        <v>2838</v>
      </c>
    </row>
    <row r="575" spans="1:14" ht="14.45" customHeight="1" x14ac:dyDescent="0.2">
      <c r="A575" s="715" t="s">
        <v>518</v>
      </c>
      <c r="B575" s="716" t="s">
        <v>519</v>
      </c>
      <c r="C575" s="717" t="s">
        <v>531</v>
      </c>
      <c r="D575" s="718" t="s">
        <v>532</v>
      </c>
      <c r="E575" s="719">
        <v>50113013</v>
      </c>
      <c r="F575" s="718" t="s">
        <v>1455</v>
      </c>
      <c r="G575" s="717" t="s">
        <v>537</v>
      </c>
      <c r="H575" s="717">
        <v>218400</v>
      </c>
      <c r="I575" s="717">
        <v>218400</v>
      </c>
      <c r="J575" s="717" t="s">
        <v>1495</v>
      </c>
      <c r="K575" s="717" t="s">
        <v>1496</v>
      </c>
      <c r="L575" s="720">
        <v>644.75526315789466</v>
      </c>
      <c r="M575" s="720">
        <v>38</v>
      </c>
      <c r="N575" s="721">
        <v>24500.699999999997</v>
      </c>
    </row>
    <row r="576" spans="1:14" ht="14.45" customHeight="1" x14ac:dyDescent="0.2">
      <c r="A576" s="715" t="s">
        <v>518</v>
      </c>
      <c r="B576" s="716" t="s">
        <v>519</v>
      </c>
      <c r="C576" s="717" t="s">
        <v>531</v>
      </c>
      <c r="D576" s="718" t="s">
        <v>532</v>
      </c>
      <c r="E576" s="719">
        <v>50113013</v>
      </c>
      <c r="F576" s="718" t="s">
        <v>1455</v>
      </c>
      <c r="G576" s="717" t="s">
        <v>537</v>
      </c>
      <c r="H576" s="717">
        <v>168860</v>
      </c>
      <c r="I576" s="717">
        <v>168860</v>
      </c>
      <c r="J576" s="717" t="s">
        <v>1497</v>
      </c>
      <c r="K576" s="717" t="s">
        <v>1498</v>
      </c>
      <c r="L576" s="720">
        <v>28965.489999999998</v>
      </c>
      <c r="M576" s="720">
        <v>2</v>
      </c>
      <c r="N576" s="721">
        <v>57930.979999999996</v>
      </c>
    </row>
    <row r="577" spans="1:14" ht="14.45" customHeight="1" x14ac:dyDescent="0.2">
      <c r="A577" s="715" t="s">
        <v>518</v>
      </c>
      <c r="B577" s="716" t="s">
        <v>519</v>
      </c>
      <c r="C577" s="717" t="s">
        <v>531</v>
      </c>
      <c r="D577" s="718" t="s">
        <v>532</v>
      </c>
      <c r="E577" s="719">
        <v>50113013</v>
      </c>
      <c r="F577" s="718" t="s">
        <v>1455</v>
      </c>
      <c r="G577" s="717" t="s">
        <v>537</v>
      </c>
      <c r="H577" s="717">
        <v>102427</v>
      </c>
      <c r="I577" s="717">
        <v>2427</v>
      </c>
      <c r="J577" s="717" t="s">
        <v>1499</v>
      </c>
      <c r="K577" s="717" t="s">
        <v>755</v>
      </c>
      <c r="L577" s="720">
        <v>88.405000000000001</v>
      </c>
      <c r="M577" s="720">
        <v>2</v>
      </c>
      <c r="N577" s="721">
        <v>176.81</v>
      </c>
    </row>
    <row r="578" spans="1:14" ht="14.45" customHeight="1" x14ac:dyDescent="0.2">
      <c r="A578" s="715" t="s">
        <v>518</v>
      </c>
      <c r="B578" s="716" t="s">
        <v>519</v>
      </c>
      <c r="C578" s="717" t="s">
        <v>531</v>
      </c>
      <c r="D578" s="718" t="s">
        <v>532</v>
      </c>
      <c r="E578" s="719">
        <v>50113013</v>
      </c>
      <c r="F578" s="718" t="s">
        <v>1455</v>
      </c>
      <c r="G578" s="717" t="s">
        <v>537</v>
      </c>
      <c r="H578" s="717">
        <v>101066</v>
      </c>
      <c r="I578" s="717">
        <v>1066</v>
      </c>
      <c r="J578" s="717" t="s">
        <v>1500</v>
      </c>
      <c r="K578" s="717" t="s">
        <v>1501</v>
      </c>
      <c r="L578" s="720">
        <v>57.347500000000004</v>
      </c>
      <c r="M578" s="720">
        <v>28</v>
      </c>
      <c r="N578" s="721">
        <v>1605.73</v>
      </c>
    </row>
    <row r="579" spans="1:14" ht="14.45" customHeight="1" x14ac:dyDescent="0.2">
      <c r="A579" s="715" t="s">
        <v>518</v>
      </c>
      <c r="B579" s="716" t="s">
        <v>519</v>
      </c>
      <c r="C579" s="717" t="s">
        <v>531</v>
      </c>
      <c r="D579" s="718" t="s">
        <v>532</v>
      </c>
      <c r="E579" s="719">
        <v>50113013</v>
      </c>
      <c r="F579" s="718" t="s">
        <v>1455</v>
      </c>
      <c r="G579" s="717" t="s">
        <v>537</v>
      </c>
      <c r="H579" s="717">
        <v>184492</v>
      </c>
      <c r="I579" s="717">
        <v>84492</v>
      </c>
      <c r="J579" s="717" t="s">
        <v>1502</v>
      </c>
      <c r="K579" s="717" t="s">
        <v>1503</v>
      </c>
      <c r="L579" s="720">
        <v>51.81</v>
      </c>
      <c r="M579" s="720">
        <v>2</v>
      </c>
      <c r="N579" s="721">
        <v>103.62</v>
      </c>
    </row>
    <row r="580" spans="1:14" ht="14.45" customHeight="1" x14ac:dyDescent="0.2">
      <c r="A580" s="715" t="s">
        <v>518</v>
      </c>
      <c r="B580" s="716" t="s">
        <v>519</v>
      </c>
      <c r="C580" s="717" t="s">
        <v>531</v>
      </c>
      <c r="D580" s="718" t="s">
        <v>532</v>
      </c>
      <c r="E580" s="719">
        <v>50113013</v>
      </c>
      <c r="F580" s="718" t="s">
        <v>1455</v>
      </c>
      <c r="G580" s="717" t="s">
        <v>537</v>
      </c>
      <c r="H580" s="717">
        <v>207280</v>
      </c>
      <c r="I580" s="717">
        <v>207280</v>
      </c>
      <c r="J580" s="717" t="s">
        <v>1504</v>
      </c>
      <c r="K580" s="717" t="s">
        <v>614</v>
      </c>
      <c r="L580" s="720">
        <v>129.86000000000001</v>
      </c>
      <c r="M580" s="720">
        <v>1</v>
      </c>
      <c r="N580" s="721">
        <v>129.86000000000001</v>
      </c>
    </row>
    <row r="581" spans="1:14" ht="14.45" customHeight="1" x14ac:dyDescent="0.2">
      <c r="A581" s="715" t="s">
        <v>518</v>
      </c>
      <c r="B581" s="716" t="s">
        <v>519</v>
      </c>
      <c r="C581" s="717" t="s">
        <v>531</v>
      </c>
      <c r="D581" s="718" t="s">
        <v>532</v>
      </c>
      <c r="E581" s="719">
        <v>50113013</v>
      </c>
      <c r="F581" s="718" t="s">
        <v>1455</v>
      </c>
      <c r="G581" s="717" t="s">
        <v>537</v>
      </c>
      <c r="H581" s="717">
        <v>847476</v>
      </c>
      <c r="I581" s="717">
        <v>112782</v>
      </c>
      <c r="J581" s="717" t="s">
        <v>1505</v>
      </c>
      <c r="K581" s="717" t="s">
        <v>1506</v>
      </c>
      <c r="L581" s="720">
        <v>687.17792550505044</v>
      </c>
      <c r="M581" s="720">
        <v>19.799999999999997</v>
      </c>
      <c r="N581" s="721">
        <v>13606.122924999998</v>
      </c>
    </row>
    <row r="582" spans="1:14" ht="14.45" customHeight="1" x14ac:dyDescent="0.2">
      <c r="A582" s="715" t="s">
        <v>518</v>
      </c>
      <c r="B582" s="716" t="s">
        <v>519</v>
      </c>
      <c r="C582" s="717" t="s">
        <v>531</v>
      </c>
      <c r="D582" s="718" t="s">
        <v>532</v>
      </c>
      <c r="E582" s="719">
        <v>50113013</v>
      </c>
      <c r="F582" s="718" t="s">
        <v>1455</v>
      </c>
      <c r="G582" s="717" t="s">
        <v>537</v>
      </c>
      <c r="H582" s="717">
        <v>96414</v>
      </c>
      <c r="I582" s="717">
        <v>96414</v>
      </c>
      <c r="J582" s="717" t="s">
        <v>1507</v>
      </c>
      <c r="K582" s="717" t="s">
        <v>1508</v>
      </c>
      <c r="L582" s="720">
        <v>58.933157894736858</v>
      </c>
      <c r="M582" s="720">
        <v>19</v>
      </c>
      <c r="N582" s="721">
        <v>1119.7300000000002</v>
      </c>
    </row>
    <row r="583" spans="1:14" ht="14.45" customHeight="1" x14ac:dyDescent="0.2">
      <c r="A583" s="715" t="s">
        <v>518</v>
      </c>
      <c r="B583" s="716" t="s">
        <v>519</v>
      </c>
      <c r="C583" s="717" t="s">
        <v>531</v>
      </c>
      <c r="D583" s="718" t="s">
        <v>532</v>
      </c>
      <c r="E583" s="719">
        <v>50113013</v>
      </c>
      <c r="F583" s="718" t="s">
        <v>1455</v>
      </c>
      <c r="G583" s="717" t="s">
        <v>537</v>
      </c>
      <c r="H583" s="717">
        <v>235812</v>
      </c>
      <c r="I583" s="717">
        <v>235812</v>
      </c>
      <c r="J583" s="717" t="s">
        <v>1509</v>
      </c>
      <c r="K583" s="717" t="s">
        <v>714</v>
      </c>
      <c r="L583" s="720">
        <v>246.76000000000005</v>
      </c>
      <c r="M583" s="720">
        <v>10</v>
      </c>
      <c r="N583" s="721">
        <v>2467.6000000000004</v>
      </c>
    </row>
    <row r="584" spans="1:14" ht="14.45" customHeight="1" x14ac:dyDescent="0.2">
      <c r="A584" s="715" t="s">
        <v>518</v>
      </c>
      <c r="B584" s="716" t="s">
        <v>519</v>
      </c>
      <c r="C584" s="717" t="s">
        <v>531</v>
      </c>
      <c r="D584" s="718" t="s">
        <v>532</v>
      </c>
      <c r="E584" s="719">
        <v>50113013</v>
      </c>
      <c r="F584" s="718" t="s">
        <v>1455</v>
      </c>
      <c r="G584" s="717" t="s">
        <v>537</v>
      </c>
      <c r="H584" s="717">
        <v>216199</v>
      </c>
      <c r="I584" s="717">
        <v>216199</v>
      </c>
      <c r="J584" s="717" t="s">
        <v>1510</v>
      </c>
      <c r="K584" s="717" t="s">
        <v>1511</v>
      </c>
      <c r="L584" s="720">
        <v>99.90000000000002</v>
      </c>
      <c r="M584" s="720">
        <v>3</v>
      </c>
      <c r="N584" s="721">
        <v>299.70000000000005</v>
      </c>
    </row>
    <row r="585" spans="1:14" ht="14.45" customHeight="1" x14ac:dyDescent="0.2">
      <c r="A585" s="715" t="s">
        <v>518</v>
      </c>
      <c r="B585" s="716" t="s">
        <v>519</v>
      </c>
      <c r="C585" s="717" t="s">
        <v>531</v>
      </c>
      <c r="D585" s="718" t="s">
        <v>532</v>
      </c>
      <c r="E585" s="719">
        <v>50113013</v>
      </c>
      <c r="F585" s="718" t="s">
        <v>1455</v>
      </c>
      <c r="G585" s="717" t="s">
        <v>537</v>
      </c>
      <c r="H585" s="717">
        <v>216183</v>
      </c>
      <c r="I585" s="717">
        <v>216183</v>
      </c>
      <c r="J585" s="717" t="s">
        <v>1512</v>
      </c>
      <c r="K585" s="717" t="s">
        <v>1513</v>
      </c>
      <c r="L585" s="720">
        <v>250.435</v>
      </c>
      <c r="M585" s="720">
        <v>40</v>
      </c>
      <c r="N585" s="721">
        <v>10017.4</v>
      </c>
    </row>
    <row r="586" spans="1:14" ht="14.45" customHeight="1" x14ac:dyDescent="0.2">
      <c r="A586" s="715" t="s">
        <v>518</v>
      </c>
      <c r="B586" s="716" t="s">
        <v>519</v>
      </c>
      <c r="C586" s="717" t="s">
        <v>531</v>
      </c>
      <c r="D586" s="718" t="s">
        <v>532</v>
      </c>
      <c r="E586" s="719">
        <v>50113013</v>
      </c>
      <c r="F586" s="718" t="s">
        <v>1455</v>
      </c>
      <c r="G586" s="717" t="s">
        <v>552</v>
      </c>
      <c r="H586" s="717">
        <v>173750</v>
      </c>
      <c r="I586" s="717">
        <v>173750</v>
      </c>
      <c r="J586" s="717" t="s">
        <v>1514</v>
      </c>
      <c r="K586" s="717" t="s">
        <v>1515</v>
      </c>
      <c r="L586" s="720">
        <v>825.99796116504831</v>
      </c>
      <c r="M586" s="720">
        <v>20.6</v>
      </c>
      <c r="N586" s="721">
        <v>17015.557999999997</v>
      </c>
    </row>
    <row r="587" spans="1:14" ht="14.45" customHeight="1" x14ac:dyDescent="0.2">
      <c r="A587" s="715" t="s">
        <v>518</v>
      </c>
      <c r="B587" s="716" t="s">
        <v>519</v>
      </c>
      <c r="C587" s="717" t="s">
        <v>531</v>
      </c>
      <c r="D587" s="718" t="s">
        <v>532</v>
      </c>
      <c r="E587" s="719">
        <v>50113013</v>
      </c>
      <c r="F587" s="718" t="s">
        <v>1455</v>
      </c>
      <c r="G587" s="717" t="s">
        <v>520</v>
      </c>
      <c r="H587" s="717">
        <v>156835</v>
      </c>
      <c r="I587" s="717">
        <v>156835</v>
      </c>
      <c r="J587" s="717" t="s">
        <v>1516</v>
      </c>
      <c r="K587" s="717" t="s">
        <v>1517</v>
      </c>
      <c r="L587" s="720">
        <v>1122.75</v>
      </c>
      <c r="M587" s="720">
        <v>8.8000000000000007</v>
      </c>
      <c r="N587" s="721">
        <v>9880.2000000000007</v>
      </c>
    </row>
    <row r="588" spans="1:14" ht="14.45" customHeight="1" x14ac:dyDescent="0.2">
      <c r="A588" s="715" t="s">
        <v>518</v>
      </c>
      <c r="B588" s="716" t="s">
        <v>519</v>
      </c>
      <c r="C588" s="717" t="s">
        <v>531</v>
      </c>
      <c r="D588" s="718" t="s">
        <v>532</v>
      </c>
      <c r="E588" s="719">
        <v>50113013</v>
      </c>
      <c r="F588" s="718" t="s">
        <v>1455</v>
      </c>
      <c r="G588" s="717" t="s">
        <v>520</v>
      </c>
      <c r="H588" s="717">
        <v>111592</v>
      </c>
      <c r="I588" s="717">
        <v>11592</v>
      </c>
      <c r="J588" s="717" t="s">
        <v>1518</v>
      </c>
      <c r="K588" s="717" t="s">
        <v>1519</v>
      </c>
      <c r="L588" s="720">
        <v>366.87573896713684</v>
      </c>
      <c r="M588" s="720">
        <v>177.5</v>
      </c>
      <c r="N588" s="721">
        <v>65120.44366666679</v>
      </c>
    </row>
    <row r="589" spans="1:14" ht="14.45" customHeight="1" x14ac:dyDescent="0.2">
      <c r="A589" s="715" t="s">
        <v>518</v>
      </c>
      <c r="B589" s="716" t="s">
        <v>519</v>
      </c>
      <c r="C589" s="717" t="s">
        <v>531</v>
      </c>
      <c r="D589" s="718" t="s">
        <v>532</v>
      </c>
      <c r="E589" s="719">
        <v>50113013</v>
      </c>
      <c r="F589" s="718" t="s">
        <v>1455</v>
      </c>
      <c r="G589" s="717" t="s">
        <v>552</v>
      </c>
      <c r="H589" s="717">
        <v>242332</v>
      </c>
      <c r="I589" s="717">
        <v>242332</v>
      </c>
      <c r="J589" s="717" t="s">
        <v>1520</v>
      </c>
      <c r="K589" s="717" t="s">
        <v>1521</v>
      </c>
      <c r="L589" s="720">
        <v>378.03299492385764</v>
      </c>
      <c r="M589" s="720">
        <v>29.550000000000004</v>
      </c>
      <c r="N589" s="721">
        <v>11170.874999999995</v>
      </c>
    </row>
    <row r="590" spans="1:14" ht="14.45" customHeight="1" x14ac:dyDescent="0.2">
      <c r="A590" s="715" t="s">
        <v>518</v>
      </c>
      <c r="B590" s="716" t="s">
        <v>519</v>
      </c>
      <c r="C590" s="717" t="s">
        <v>531</v>
      </c>
      <c r="D590" s="718" t="s">
        <v>532</v>
      </c>
      <c r="E590" s="719">
        <v>50113013</v>
      </c>
      <c r="F590" s="718" t="s">
        <v>1455</v>
      </c>
      <c r="G590" s="717" t="s">
        <v>537</v>
      </c>
      <c r="H590" s="717">
        <v>225543</v>
      </c>
      <c r="I590" s="717">
        <v>225543</v>
      </c>
      <c r="J590" s="717" t="s">
        <v>1522</v>
      </c>
      <c r="K590" s="717" t="s">
        <v>1523</v>
      </c>
      <c r="L590" s="720">
        <v>391.11</v>
      </c>
      <c r="M590" s="720">
        <v>2</v>
      </c>
      <c r="N590" s="721">
        <v>782.22</v>
      </c>
    </row>
    <row r="591" spans="1:14" ht="14.45" customHeight="1" x14ac:dyDescent="0.2">
      <c r="A591" s="715" t="s">
        <v>518</v>
      </c>
      <c r="B591" s="716" t="s">
        <v>519</v>
      </c>
      <c r="C591" s="717" t="s">
        <v>531</v>
      </c>
      <c r="D591" s="718" t="s">
        <v>532</v>
      </c>
      <c r="E591" s="719">
        <v>50113013</v>
      </c>
      <c r="F591" s="718" t="s">
        <v>1455</v>
      </c>
      <c r="G591" s="717" t="s">
        <v>537</v>
      </c>
      <c r="H591" s="717">
        <v>207116</v>
      </c>
      <c r="I591" s="717">
        <v>207116</v>
      </c>
      <c r="J591" s="717" t="s">
        <v>1524</v>
      </c>
      <c r="K591" s="717" t="s">
        <v>1525</v>
      </c>
      <c r="L591" s="720">
        <v>419.1969230769231</v>
      </c>
      <c r="M591" s="720">
        <v>1.3</v>
      </c>
      <c r="N591" s="721">
        <v>544.95600000000002</v>
      </c>
    </row>
    <row r="592" spans="1:14" ht="14.45" customHeight="1" x14ac:dyDescent="0.2">
      <c r="A592" s="715" t="s">
        <v>518</v>
      </c>
      <c r="B592" s="716" t="s">
        <v>519</v>
      </c>
      <c r="C592" s="717" t="s">
        <v>531</v>
      </c>
      <c r="D592" s="718" t="s">
        <v>532</v>
      </c>
      <c r="E592" s="719">
        <v>50113013</v>
      </c>
      <c r="F592" s="718" t="s">
        <v>1455</v>
      </c>
      <c r="G592" s="717" t="s">
        <v>537</v>
      </c>
      <c r="H592" s="717">
        <v>101076</v>
      </c>
      <c r="I592" s="717">
        <v>1076</v>
      </c>
      <c r="J592" s="717" t="s">
        <v>1526</v>
      </c>
      <c r="K592" s="717" t="s">
        <v>1100</v>
      </c>
      <c r="L592" s="720">
        <v>78.339843750000014</v>
      </c>
      <c r="M592" s="720">
        <v>64</v>
      </c>
      <c r="N592" s="721">
        <v>5013.7500000000009</v>
      </c>
    </row>
    <row r="593" spans="1:14" ht="14.45" customHeight="1" x14ac:dyDescent="0.2">
      <c r="A593" s="715" t="s">
        <v>518</v>
      </c>
      <c r="B593" s="716" t="s">
        <v>519</v>
      </c>
      <c r="C593" s="717" t="s">
        <v>531</v>
      </c>
      <c r="D593" s="718" t="s">
        <v>532</v>
      </c>
      <c r="E593" s="719">
        <v>50113013</v>
      </c>
      <c r="F593" s="718" t="s">
        <v>1455</v>
      </c>
      <c r="G593" s="717" t="s">
        <v>537</v>
      </c>
      <c r="H593" s="717">
        <v>201970</v>
      </c>
      <c r="I593" s="717">
        <v>201970</v>
      </c>
      <c r="J593" s="717" t="s">
        <v>1527</v>
      </c>
      <c r="K593" s="717" t="s">
        <v>1528</v>
      </c>
      <c r="L593" s="720">
        <v>72.179999999999993</v>
      </c>
      <c r="M593" s="720">
        <v>1</v>
      </c>
      <c r="N593" s="721">
        <v>72.179999999999993</v>
      </c>
    </row>
    <row r="594" spans="1:14" ht="14.45" customHeight="1" x14ac:dyDescent="0.2">
      <c r="A594" s="715" t="s">
        <v>518</v>
      </c>
      <c r="B594" s="716" t="s">
        <v>519</v>
      </c>
      <c r="C594" s="717" t="s">
        <v>531</v>
      </c>
      <c r="D594" s="718" t="s">
        <v>532</v>
      </c>
      <c r="E594" s="719">
        <v>50113013</v>
      </c>
      <c r="F594" s="718" t="s">
        <v>1455</v>
      </c>
      <c r="G594" s="717" t="s">
        <v>552</v>
      </c>
      <c r="H594" s="717">
        <v>113453</v>
      </c>
      <c r="I594" s="717">
        <v>113453</v>
      </c>
      <c r="J594" s="717" t="s">
        <v>1529</v>
      </c>
      <c r="K594" s="717" t="s">
        <v>1530</v>
      </c>
      <c r="L594" s="720">
        <v>460.10388000642763</v>
      </c>
      <c r="M594" s="720">
        <v>131.39999999999998</v>
      </c>
      <c r="N594" s="721">
        <v>60457.649832844581</v>
      </c>
    </row>
    <row r="595" spans="1:14" ht="14.45" customHeight="1" x14ac:dyDescent="0.2">
      <c r="A595" s="715" t="s">
        <v>518</v>
      </c>
      <c r="B595" s="716" t="s">
        <v>519</v>
      </c>
      <c r="C595" s="717" t="s">
        <v>531</v>
      </c>
      <c r="D595" s="718" t="s">
        <v>532</v>
      </c>
      <c r="E595" s="719">
        <v>50113013</v>
      </c>
      <c r="F595" s="718" t="s">
        <v>1455</v>
      </c>
      <c r="G595" s="717" t="s">
        <v>537</v>
      </c>
      <c r="H595" s="717">
        <v>192359</v>
      </c>
      <c r="I595" s="717">
        <v>92359</v>
      </c>
      <c r="J595" s="717" t="s">
        <v>1531</v>
      </c>
      <c r="K595" s="717" t="s">
        <v>1532</v>
      </c>
      <c r="L595" s="720">
        <v>43.67597315436241</v>
      </c>
      <c r="M595" s="720">
        <v>298</v>
      </c>
      <c r="N595" s="721">
        <v>13015.439999999999</v>
      </c>
    </row>
    <row r="596" spans="1:14" ht="14.45" customHeight="1" x14ac:dyDescent="0.2">
      <c r="A596" s="715" t="s">
        <v>518</v>
      </c>
      <c r="B596" s="716" t="s">
        <v>519</v>
      </c>
      <c r="C596" s="717" t="s">
        <v>531</v>
      </c>
      <c r="D596" s="718" t="s">
        <v>532</v>
      </c>
      <c r="E596" s="719">
        <v>50113013</v>
      </c>
      <c r="F596" s="718" t="s">
        <v>1455</v>
      </c>
      <c r="G596" s="717" t="s">
        <v>520</v>
      </c>
      <c r="H596" s="717">
        <v>201030</v>
      </c>
      <c r="I596" s="717">
        <v>201030</v>
      </c>
      <c r="J596" s="717" t="s">
        <v>1533</v>
      </c>
      <c r="K596" s="717" t="s">
        <v>1534</v>
      </c>
      <c r="L596" s="720">
        <v>33.415137614678905</v>
      </c>
      <c r="M596" s="720">
        <v>218</v>
      </c>
      <c r="N596" s="721">
        <v>7284.5000000000009</v>
      </c>
    </row>
    <row r="597" spans="1:14" ht="14.45" customHeight="1" x14ac:dyDescent="0.2">
      <c r="A597" s="715" t="s">
        <v>518</v>
      </c>
      <c r="B597" s="716" t="s">
        <v>519</v>
      </c>
      <c r="C597" s="717" t="s">
        <v>531</v>
      </c>
      <c r="D597" s="718" t="s">
        <v>532</v>
      </c>
      <c r="E597" s="719">
        <v>50113013</v>
      </c>
      <c r="F597" s="718" t="s">
        <v>1455</v>
      </c>
      <c r="G597" s="717" t="s">
        <v>537</v>
      </c>
      <c r="H597" s="717">
        <v>106264</v>
      </c>
      <c r="I597" s="717">
        <v>6264</v>
      </c>
      <c r="J597" s="717" t="s">
        <v>1535</v>
      </c>
      <c r="K597" s="717" t="s">
        <v>1536</v>
      </c>
      <c r="L597" s="720">
        <v>31.661666666666672</v>
      </c>
      <c r="M597" s="720">
        <v>18</v>
      </c>
      <c r="N597" s="721">
        <v>569.91000000000008</v>
      </c>
    </row>
    <row r="598" spans="1:14" ht="14.45" customHeight="1" x14ac:dyDescent="0.2">
      <c r="A598" s="715" t="s">
        <v>518</v>
      </c>
      <c r="B598" s="716" t="s">
        <v>519</v>
      </c>
      <c r="C598" s="717" t="s">
        <v>531</v>
      </c>
      <c r="D598" s="718" t="s">
        <v>532</v>
      </c>
      <c r="E598" s="719">
        <v>50113013</v>
      </c>
      <c r="F598" s="718" t="s">
        <v>1455</v>
      </c>
      <c r="G598" s="717" t="s">
        <v>537</v>
      </c>
      <c r="H598" s="717">
        <v>105113</v>
      </c>
      <c r="I598" s="717">
        <v>5113</v>
      </c>
      <c r="J598" s="717" t="s">
        <v>1537</v>
      </c>
      <c r="K598" s="717" t="s">
        <v>1538</v>
      </c>
      <c r="L598" s="720">
        <v>127.56000000000003</v>
      </c>
      <c r="M598" s="720">
        <v>11</v>
      </c>
      <c r="N598" s="721">
        <v>1403.1600000000003</v>
      </c>
    </row>
    <row r="599" spans="1:14" ht="14.45" customHeight="1" x14ac:dyDescent="0.2">
      <c r="A599" s="715" t="s">
        <v>518</v>
      </c>
      <c r="B599" s="716" t="s">
        <v>519</v>
      </c>
      <c r="C599" s="717" t="s">
        <v>531</v>
      </c>
      <c r="D599" s="718" t="s">
        <v>532</v>
      </c>
      <c r="E599" s="719">
        <v>50113013</v>
      </c>
      <c r="F599" s="718" t="s">
        <v>1455</v>
      </c>
      <c r="G599" s="717" t="s">
        <v>520</v>
      </c>
      <c r="H599" s="717">
        <v>847759</v>
      </c>
      <c r="I599" s="717">
        <v>142077</v>
      </c>
      <c r="J599" s="717" t="s">
        <v>1539</v>
      </c>
      <c r="K599" s="717" t="s">
        <v>1540</v>
      </c>
      <c r="L599" s="720">
        <v>2256.35</v>
      </c>
      <c r="M599" s="720">
        <v>20.399999999999999</v>
      </c>
      <c r="N599" s="721">
        <v>46029.539999999994</v>
      </c>
    </row>
    <row r="600" spans="1:14" ht="14.45" customHeight="1" x14ac:dyDescent="0.2">
      <c r="A600" s="715" t="s">
        <v>518</v>
      </c>
      <c r="B600" s="716" t="s">
        <v>519</v>
      </c>
      <c r="C600" s="717" t="s">
        <v>531</v>
      </c>
      <c r="D600" s="718" t="s">
        <v>532</v>
      </c>
      <c r="E600" s="719">
        <v>50113013</v>
      </c>
      <c r="F600" s="718" t="s">
        <v>1455</v>
      </c>
      <c r="G600" s="717" t="s">
        <v>537</v>
      </c>
      <c r="H600" s="717">
        <v>225174</v>
      </c>
      <c r="I600" s="717">
        <v>225174</v>
      </c>
      <c r="J600" s="717" t="s">
        <v>1541</v>
      </c>
      <c r="K600" s="717" t="s">
        <v>1542</v>
      </c>
      <c r="L600" s="720">
        <v>42.989999999999995</v>
      </c>
      <c r="M600" s="720">
        <v>5</v>
      </c>
      <c r="N600" s="721">
        <v>214.95</v>
      </c>
    </row>
    <row r="601" spans="1:14" ht="14.45" customHeight="1" x14ac:dyDescent="0.2">
      <c r="A601" s="715" t="s">
        <v>518</v>
      </c>
      <c r="B601" s="716" t="s">
        <v>519</v>
      </c>
      <c r="C601" s="717" t="s">
        <v>531</v>
      </c>
      <c r="D601" s="718" t="s">
        <v>532</v>
      </c>
      <c r="E601" s="719">
        <v>50113013</v>
      </c>
      <c r="F601" s="718" t="s">
        <v>1455</v>
      </c>
      <c r="G601" s="717" t="s">
        <v>552</v>
      </c>
      <c r="H601" s="717">
        <v>126127</v>
      </c>
      <c r="I601" s="717">
        <v>26127</v>
      </c>
      <c r="J601" s="717" t="s">
        <v>1543</v>
      </c>
      <c r="K601" s="717" t="s">
        <v>1544</v>
      </c>
      <c r="L601" s="720">
        <v>2858.1292872340423</v>
      </c>
      <c r="M601" s="720">
        <v>93.999999999999986</v>
      </c>
      <c r="N601" s="721">
        <v>268664.15299999993</v>
      </c>
    </row>
    <row r="602" spans="1:14" ht="14.45" customHeight="1" x14ac:dyDescent="0.2">
      <c r="A602" s="715" t="s">
        <v>518</v>
      </c>
      <c r="B602" s="716" t="s">
        <v>519</v>
      </c>
      <c r="C602" s="717" t="s">
        <v>531</v>
      </c>
      <c r="D602" s="718" t="s">
        <v>532</v>
      </c>
      <c r="E602" s="719">
        <v>50113013</v>
      </c>
      <c r="F602" s="718" t="s">
        <v>1455</v>
      </c>
      <c r="G602" s="717" t="s">
        <v>537</v>
      </c>
      <c r="H602" s="717">
        <v>116600</v>
      </c>
      <c r="I602" s="717">
        <v>16600</v>
      </c>
      <c r="J602" s="717" t="s">
        <v>1545</v>
      </c>
      <c r="K602" s="717" t="s">
        <v>1546</v>
      </c>
      <c r="L602" s="720">
        <v>38.064589147286839</v>
      </c>
      <c r="M602" s="720">
        <v>645</v>
      </c>
      <c r="N602" s="721">
        <v>24551.660000000011</v>
      </c>
    </row>
    <row r="603" spans="1:14" ht="14.45" customHeight="1" x14ac:dyDescent="0.2">
      <c r="A603" s="715" t="s">
        <v>518</v>
      </c>
      <c r="B603" s="716" t="s">
        <v>519</v>
      </c>
      <c r="C603" s="717" t="s">
        <v>531</v>
      </c>
      <c r="D603" s="718" t="s">
        <v>532</v>
      </c>
      <c r="E603" s="719">
        <v>50113013</v>
      </c>
      <c r="F603" s="718" t="s">
        <v>1455</v>
      </c>
      <c r="G603" s="717" t="s">
        <v>552</v>
      </c>
      <c r="H603" s="717">
        <v>166269</v>
      </c>
      <c r="I603" s="717">
        <v>166269</v>
      </c>
      <c r="J603" s="717" t="s">
        <v>1547</v>
      </c>
      <c r="K603" s="717" t="s">
        <v>1548</v>
      </c>
      <c r="L603" s="720">
        <v>52.88000000000001</v>
      </c>
      <c r="M603" s="720">
        <v>91</v>
      </c>
      <c r="N603" s="721">
        <v>4812.0800000000008</v>
      </c>
    </row>
    <row r="604" spans="1:14" ht="14.45" customHeight="1" x14ac:dyDescent="0.2">
      <c r="A604" s="715" t="s">
        <v>518</v>
      </c>
      <c r="B604" s="716" t="s">
        <v>519</v>
      </c>
      <c r="C604" s="717" t="s">
        <v>531</v>
      </c>
      <c r="D604" s="718" t="s">
        <v>532</v>
      </c>
      <c r="E604" s="719">
        <v>50113013</v>
      </c>
      <c r="F604" s="718" t="s">
        <v>1455</v>
      </c>
      <c r="G604" s="717" t="s">
        <v>552</v>
      </c>
      <c r="H604" s="717">
        <v>166265</v>
      </c>
      <c r="I604" s="717">
        <v>166265</v>
      </c>
      <c r="J604" s="717" t="s">
        <v>1549</v>
      </c>
      <c r="K604" s="717" t="s">
        <v>1513</v>
      </c>
      <c r="L604" s="720">
        <v>33.389999999999993</v>
      </c>
      <c r="M604" s="720">
        <v>50</v>
      </c>
      <c r="N604" s="721">
        <v>1669.4999999999998</v>
      </c>
    </row>
    <row r="605" spans="1:14" ht="14.45" customHeight="1" x14ac:dyDescent="0.2">
      <c r="A605" s="715" t="s">
        <v>518</v>
      </c>
      <c r="B605" s="716" t="s">
        <v>519</v>
      </c>
      <c r="C605" s="717" t="s">
        <v>531</v>
      </c>
      <c r="D605" s="718" t="s">
        <v>532</v>
      </c>
      <c r="E605" s="719">
        <v>50113013</v>
      </c>
      <c r="F605" s="718" t="s">
        <v>1455</v>
      </c>
      <c r="G605" s="717" t="s">
        <v>537</v>
      </c>
      <c r="H605" s="717">
        <v>193477</v>
      </c>
      <c r="I605" s="717">
        <v>193477</v>
      </c>
      <c r="J605" s="717" t="s">
        <v>1550</v>
      </c>
      <c r="K605" s="717" t="s">
        <v>1551</v>
      </c>
      <c r="L605" s="720">
        <v>9979.3731249999983</v>
      </c>
      <c r="M605" s="720">
        <v>3.2</v>
      </c>
      <c r="N605" s="721">
        <v>31933.993999999999</v>
      </c>
    </row>
    <row r="606" spans="1:14" ht="14.45" customHeight="1" x14ac:dyDescent="0.2">
      <c r="A606" s="715" t="s">
        <v>518</v>
      </c>
      <c r="B606" s="716" t="s">
        <v>519</v>
      </c>
      <c r="C606" s="717" t="s">
        <v>531</v>
      </c>
      <c r="D606" s="718" t="s">
        <v>532</v>
      </c>
      <c r="E606" s="719">
        <v>50113013</v>
      </c>
      <c r="F606" s="718" t="s">
        <v>1455</v>
      </c>
      <c r="G606" s="717" t="s">
        <v>552</v>
      </c>
      <c r="H606" s="717">
        <v>103708</v>
      </c>
      <c r="I606" s="717">
        <v>3708</v>
      </c>
      <c r="J606" s="717" t="s">
        <v>1552</v>
      </c>
      <c r="K606" s="717" t="s">
        <v>1553</v>
      </c>
      <c r="L606" s="720">
        <v>1134.8800000000001</v>
      </c>
      <c r="M606" s="720">
        <v>5.1999999999999993</v>
      </c>
      <c r="N606" s="721">
        <v>5901.3760000000002</v>
      </c>
    </row>
    <row r="607" spans="1:14" ht="14.45" customHeight="1" x14ac:dyDescent="0.2">
      <c r="A607" s="715" t="s">
        <v>518</v>
      </c>
      <c r="B607" s="716" t="s">
        <v>519</v>
      </c>
      <c r="C607" s="717" t="s">
        <v>531</v>
      </c>
      <c r="D607" s="718" t="s">
        <v>532</v>
      </c>
      <c r="E607" s="719">
        <v>50113014</v>
      </c>
      <c r="F607" s="718" t="s">
        <v>1554</v>
      </c>
      <c r="G607" s="717" t="s">
        <v>552</v>
      </c>
      <c r="H607" s="717">
        <v>164401</v>
      </c>
      <c r="I607" s="717">
        <v>164401</v>
      </c>
      <c r="J607" s="717" t="s">
        <v>1555</v>
      </c>
      <c r="K607" s="717" t="s">
        <v>1556</v>
      </c>
      <c r="L607" s="720">
        <v>253.23462787550753</v>
      </c>
      <c r="M607" s="720">
        <v>73.900000000000006</v>
      </c>
      <c r="N607" s="721">
        <v>18714.039000000008</v>
      </c>
    </row>
    <row r="608" spans="1:14" ht="14.45" customHeight="1" x14ac:dyDescent="0.2">
      <c r="A608" s="715" t="s">
        <v>518</v>
      </c>
      <c r="B608" s="716" t="s">
        <v>519</v>
      </c>
      <c r="C608" s="717" t="s">
        <v>531</v>
      </c>
      <c r="D608" s="718" t="s">
        <v>532</v>
      </c>
      <c r="E608" s="719">
        <v>50113014</v>
      </c>
      <c r="F608" s="718" t="s">
        <v>1554</v>
      </c>
      <c r="G608" s="717" t="s">
        <v>552</v>
      </c>
      <c r="H608" s="717">
        <v>164407</v>
      </c>
      <c r="I608" s="717">
        <v>164407</v>
      </c>
      <c r="J608" s="717" t="s">
        <v>1555</v>
      </c>
      <c r="K608" s="717" t="s">
        <v>1557</v>
      </c>
      <c r="L608" s="720">
        <v>474.5003571428573</v>
      </c>
      <c r="M608" s="720">
        <v>16.799999999999997</v>
      </c>
      <c r="N608" s="721">
        <v>7971.6060000000016</v>
      </c>
    </row>
    <row r="609" spans="1:14" ht="14.45" customHeight="1" x14ac:dyDescent="0.2">
      <c r="A609" s="715" t="s">
        <v>518</v>
      </c>
      <c r="B609" s="716" t="s">
        <v>519</v>
      </c>
      <c r="C609" s="717" t="s">
        <v>531</v>
      </c>
      <c r="D609" s="718" t="s">
        <v>532</v>
      </c>
      <c r="E609" s="719">
        <v>50113014</v>
      </c>
      <c r="F609" s="718" t="s">
        <v>1554</v>
      </c>
      <c r="G609" s="717" t="s">
        <v>537</v>
      </c>
      <c r="H609" s="717">
        <v>116896</v>
      </c>
      <c r="I609" s="717">
        <v>16896</v>
      </c>
      <c r="J609" s="717" t="s">
        <v>913</v>
      </c>
      <c r="K609" s="717" t="s">
        <v>914</v>
      </c>
      <c r="L609" s="720">
        <v>110.21</v>
      </c>
      <c r="M609" s="720">
        <v>5</v>
      </c>
      <c r="N609" s="721">
        <v>551.04999999999995</v>
      </c>
    </row>
    <row r="610" spans="1:14" ht="14.45" customHeight="1" x14ac:dyDescent="0.2">
      <c r="A610" s="715" t="s">
        <v>518</v>
      </c>
      <c r="B610" s="716" t="s">
        <v>519</v>
      </c>
      <c r="C610" s="717" t="s">
        <v>531</v>
      </c>
      <c r="D610" s="718" t="s">
        <v>532</v>
      </c>
      <c r="E610" s="719">
        <v>50113014</v>
      </c>
      <c r="F610" s="718" t="s">
        <v>1554</v>
      </c>
      <c r="G610" s="717" t="s">
        <v>537</v>
      </c>
      <c r="H610" s="717">
        <v>129428</v>
      </c>
      <c r="I610" s="717">
        <v>500720</v>
      </c>
      <c r="J610" s="717" t="s">
        <v>1558</v>
      </c>
      <c r="K610" s="717" t="s">
        <v>1559</v>
      </c>
      <c r="L610" s="720">
        <v>3630</v>
      </c>
      <c r="M610" s="720">
        <v>71</v>
      </c>
      <c r="N610" s="721">
        <v>257730</v>
      </c>
    </row>
    <row r="611" spans="1:14" ht="14.45" customHeight="1" x14ac:dyDescent="0.2">
      <c r="A611" s="715" t="s">
        <v>518</v>
      </c>
      <c r="B611" s="716" t="s">
        <v>519</v>
      </c>
      <c r="C611" s="717" t="s">
        <v>531</v>
      </c>
      <c r="D611" s="718" t="s">
        <v>532</v>
      </c>
      <c r="E611" s="719">
        <v>50113014</v>
      </c>
      <c r="F611" s="718" t="s">
        <v>1554</v>
      </c>
      <c r="G611" s="717" t="s">
        <v>537</v>
      </c>
      <c r="H611" s="717">
        <v>126902</v>
      </c>
      <c r="I611" s="717">
        <v>26902</v>
      </c>
      <c r="J611" s="717" t="s">
        <v>1560</v>
      </c>
      <c r="K611" s="717" t="s">
        <v>1561</v>
      </c>
      <c r="L611" s="720">
        <v>333.91</v>
      </c>
      <c r="M611" s="720">
        <v>20</v>
      </c>
      <c r="N611" s="721">
        <v>6678.2000000000007</v>
      </c>
    </row>
    <row r="612" spans="1:14" ht="14.45" customHeight="1" thickBot="1" x14ac:dyDescent="0.25">
      <c r="A612" s="722" t="s">
        <v>518</v>
      </c>
      <c r="B612" s="723" t="s">
        <v>519</v>
      </c>
      <c r="C612" s="724" t="s">
        <v>531</v>
      </c>
      <c r="D612" s="725" t="s">
        <v>532</v>
      </c>
      <c r="E612" s="726">
        <v>50113014</v>
      </c>
      <c r="F612" s="725" t="s">
        <v>1554</v>
      </c>
      <c r="G612" s="724" t="s">
        <v>520</v>
      </c>
      <c r="H612" s="724">
        <v>205772</v>
      </c>
      <c r="I612" s="724">
        <v>205772</v>
      </c>
      <c r="J612" s="724" t="s">
        <v>1562</v>
      </c>
      <c r="K612" s="724" t="s">
        <v>1563</v>
      </c>
      <c r="L612" s="727">
        <v>190.74</v>
      </c>
      <c r="M612" s="727">
        <v>48</v>
      </c>
      <c r="N612" s="728">
        <v>9155.52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E3695882-61C5-40D2-8ABB-8B700326B4AA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85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233" customWidth="1"/>
    <col min="2" max="2" width="10" style="313" customWidth="1"/>
    <col min="3" max="3" width="5.5703125" style="316" customWidth="1"/>
    <col min="4" max="4" width="10.85546875" style="313" customWidth="1"/>
    <col min="5" max="5" width="5.5703125" style="316" customWidth="1"/>
    <col min="6" max="6" width="10.85546875" style="313" customWidth="1"/>
    <col min="7" max="16384" width="8.85546875" style="233"/>
  </cols>
  <sheetData>
    <row r="1" spans="1:6" ht="37.15" customHeight="1" thickBot="1" x14ac:dyDescent="0.35">
      <c r="A1" s="530" t="s">
        <v>183</v>
      </c>
      <c r="B1" s="531"/>
      <c r="C1" s="531"/>
      <c r="D1" s="531"/>
      <c r="E1" s="531"/>
      <c r="F1" s="531"/>
    </row>
    <row r="2" spans="1:6" ht="14.45" customHeight="1" thickBot="1" x14ac:dyDescent="0.25">
      <c r="A2" s="666" t="s">
        <v>305</v>
      </c>
      <c r="B2" s="67"/>
      <c r="C2" s="68"/>
      <c r="D2" s="69"/>
      <c r="E2" s="68"/>
      <c r="F2" s="69"/>
    </row>
    <row r="3" spans="1:6" ht="14.45" customHeight="1" thickBot="1" x14ac:dyDescent="0.25">
      <c r="A3" s="191"/>
      <c r="B3" s="532" t="s">
        <v>145</v>
      </c>
      <c r="C3" s="533"/>
      <c r="D3" s="534" t="s">
        <v>144</v>
      </c>
      <c r="E3" s="533"/>
      <c r="F3" s="97" t="s">
        <v>3</v>
      </c>
    </row>
    <row r="4" spans="1:6" ht="14.45" customHeight="1" thickBot="1" x14ac:dyDescent="0.25">
      <c r="A4" s="729" t="s">
        <v>168</v>
      </c>
      <c r="B4" s="730" t="s">
        <v>14</v>
      </c>
      <c r="C4" s="731" t="s">
        <v>2</v>
      </c>
      <c r="D4" s="730" t="s">
        <v>14</v>
      </c>
      <c r="E4" s="731" t="s">
        <v>2</v>
      </c>
      <c r="F4" s="732" t="s">
        <v>14</v>
      </c>
    </row>
    <row r="5" spans="1:6" ht="14.45" customHeight="1" thickBot="1" x14ac:dyDescent="0.25">
      <c r="A5" s="743" t="s">
        <v>1564</v>
      </c>
      <c r="B5" s="706">
        <v>341732.5256504289</v>
      </c>
      <c r="C5" s="733">
        <v>0.15847375029572072</v>
      </c>
      <c r="D5" s="706">
        <v>1814665.7738328434</v>
      </c>
      <c r="E5" s="733">
        <v>0.84152624970427925</v>
      </c>
      <c r="F5" s="707">
        <v>2156398.2994832722</v>
      </c>
    </row>
    <row r="6" spans="1:6" ht="14.45" customHeight="1" thickBot="1" x14ac:dyDescent="0.25">
      <c r="A6" s="739" t="s">
        <v>3</v>
      </c>
      <c r="B6" s="740">
        <v>341732.5256504289</v>
      </c>
      <c r="C6" s="741">
        <v>0.15847375029572072</v>
      </c>
      <c r="D6" s="740">
        <v>1814665.7738328434</v>
      </c>
      <c r="E6" s="741">
        <v>0.84152624970427925</v>
      </c>
      <c r="F6" s="742">
        <v>2156398.2994832722</v>
      </c>
    </row>
    <row r="7" spans="1:6" ht="14.45" customHeight="1" thickBot="1" x14ac:dyDescent="0.25"/>
    <row r="8" spans="1:6" ht="14.45" customHeight="1" x14ac:dyDescent="0.2">
      <c r="A8" s="749" t="s">
        <v>1565</v>
      </c>
      <c r="B8" s="713"/>
      <c r="C8" s="734">
        <v>0</v>
      </c>
      <c r="D8" s="713">
        <v>45845.460000000006</v>
      </c>
      <c r="E8" s="734">
        <v>1</v>
      </c>
      <c r="F8" s="714">
        <v>45845.460000000006</v>
      </c>
    </row>
    <row r="9" spans="1:6" ht="14.45" customHeight="1" x14ac:dyDescent="0.2">
      <c r="A9" s="750" t="s">
        <v>1566</v>
      </c>
      <c r="B9" s="720"/>
      <c r="C9" s="745">
        <v>0</v>
      </c>
      <c r="D9" s="720">
        <v>6573.5999999999995</v>
      </c>
      <c r="E9" s="745">
        <v>1</v>
      </c>
      <c r="F9" s="721">
        <v>6573.5999999999995</v>
      </c>
    </row>
    <row r="10" spans="1:6" ht="14.45" customHeight="1" x14ac:dyDescent="0.2">
      <c r="A10" s="750" t="s">
        <v>1567</v>
      </c>
      <c r="B10" s="720">
        <v>63.350000000000016</v>
      </c>
      <c r="C10" s="745">
        <v>0.31034144907656891</v>
      </c>
      <c r="D10" s="720">
        <v>140.78</v>
      </c>
      <c r="E10" s="745">
        <v>0.68965855092343109</v>
      </c>
      <c r="F10" s="721">
        <v>204.13000000000002</v>
      </c>
    </row>
    <row r="11" spans="1:6" ht="14.45" customHeight="1" x14ac:dyDescent="0.2">
      <c r="A11" s="750" t="s">
        <v>1568</v>
      </c>
      <c r="B11" s="720">
        <v>137.53</v>
      </c>
      <c r="C11" s="745">
        <v>0.50021822943187599</v>
      </c>
      <c r="D11" s="720">
        <v>137.41000000000003</v>
      </c>
      <c r="E11" s="745">
        <v>0.49978177056812395</v>
      </c>
      <c r="F11" s="721">
        <v>274.94000000000005</v>
      </c>
    </row>
    <row r="12" spans="1:6" ht="14.45" customHeight="1" x14ac:dyDescent="0.2">
      <c r="A12" s="750" t="s">
        <v>1569</v>
      </c>
      <c r="B12" s="720"/>
      <c r="C12" s="745">
        <v>0</v>
      </c>
      <c r="D12" s="720">
        <v>128553.3</v>
      </c>
      <c r="E12" s="745">
        <v>1</v>
      </c>
      <c r="F12" s="721">
        <v>128553.3</v>
      </c>
    </row>
    <row r="13" spans="1:6" ht="14.45" customHeight="1" x14ac:dyDescent="0.2">
      <c r="A13" s="750" t="s">
        <v>1570</v>
      </c>
      <c r="B13" s="720"/>
      <c r="C13" s="745">
        <v>0</v>
      </c>
      <c r="D13" s="720">
        <v>753.03000000000009</v>
      </c>
      <c r="E13" s="745">
        <v>1</v>
      </c>
      <c r="F13" s="721">
        <v>753.03000000000009</v>
      </c>
    </row>
    <row r="14" spans="1:6" ht="14.45" customHeight="1" x14ac:dyDescent="0.2">
      <c r="A14" s="750" t="s">
        <v>1571</v>
      </c>
      <c r="B14" s="720"/>
      <c r="C14" s="745">
        <v>0</v>
      </c>
      <c r="D14" s="720">
        <v>22681.070000000007</v>
      </c>
      <c r="E14" s="745">
        <v>1</v>
      </c>
      <c r="F14" s="721">
        <v>22681.070000000007</v>
      </c>
    </row>
    <row r="15" spans="1:6" ht="14.45" customHeight="1" x14ac:dyDescent="0.2">
      <c r="A15" s="750" t="s">
        <v>1572</v>
      </c>
      <c r="B15" s="720"/>
      <c r="C15" s="745">
        <v>0</v>
      </c>
      <c r="D15" s="720">
        <v>97.65000000000002</v>
      </c>
      <c r="E15" s="745">
        <v>1</v>
      </c>
      <c r="F15" s="721">
        <v>97.65000000000002</v>
      </c>
    </row>
    <row r="16" spans="1:6" ht="14.45" customHeight="1" x14ac:dyDescent="0.2">
      <c r="A16" s="750" t="s">
        <v>1573</v>
      </c>
      <c r="B16" s="720"/>
      <c r="C16" s="745">
        <v>0</v>
      </c>
      <c r="D16" s="720">
        <v>311.95</v>
      </c>
      <c r="E16" s="745">
        <v>1</v>
      </c>
      <c r="F16" s="721">
        <v>311.95</v>
      </c>
    </row>
    <row r="17" spans="1:6" ht="14.45" customHeight="1" x14ac:dyDescent="0.2">
      <c r="A17" s="750" t="s">
        <v>1574</v>
      </c>
      <c r="B17" s="720"/>
      <c r="C17" s="745">
        <v>0</v>
      </c>
      <c r="D17" s="720">
        <v>288.94</v>
      </c>
      <c r="E17" s="745">
        <v>1</v>
      </c>
      <c r="F17" s="721">
        <v>288.94</v>
      </c>
    </row>
    <row r="18" spans="1:6" ht="14.45" customHeight="1" x14ac:dyDescent="0.2">
      <c r="A18" s="750" t="s">
        <v>1575</v>
      </c>
      <c r="B18" s="720">
        <v>50.19</v>
      </c>
      <c r="C18" s="745">
        <v>1.8804760575570297E-3</v>
      </c>
      <c r="D18" s="720">
        <v>26639.86</v>
      </c>
      <c r="E18" s="745">
        <v>0.99811952394244297</v>
      </c>
      <c r="F18" s="721">
        <v>26690.05</v>
      </c>
    </row>
    <row r="19" spans="1:6" ht="14.45" customHeight="1" x14ac:dyDescent="0.2">
      <c r="A19" s="750" t="s">
        <v>1576</v>
      </c>
      <c r="B19" s="720">
        <v>3711.2000000000007</v>
      </c>
      <c r="C19" s="745">
        <v>1</v>
      </c>
      <c r="D19" s="720"/>
      <c r="E19" s="745">
        <v>0</v>
      </c>
      <c r="F19" s="721">
        <v>3711.2000000000007</v>
      </c>
    </row>
    <row r="20" spans="1:6" ht="14.45" customHeight="1" x14ac:dyDescent="0.2">
      <c r="A20" s="750" t="s">
        <v>1577</v>
      </c>
      <c r="B20" s="720"/>
      <c r="C20" s="745">
        <v>0</v>
      </c>
      <c r="D20" s="720">
        <v>4882.53</v>
      </c>
      <c r="E20" s="745">
        <v>1</v>
      </c>
      <c r="F20" s="721">
        <v>4882.53</v>
      </c>
    </row>
    <row r="21" spans="1:6" ht="14.45" customHeight="1" x14ac:dyDescent="0.2">
      <c r="A21" s="750" t="s">
        <v>1578</v>
      </c>
      <c r="B21" s="720"/>
      <c r="C21" s="745">
        <v>0</v>
      </c>
      <c r="D21" s="720">
        <v>99.469999999999985</v>
      </c>
      <c r="E21" s="745">
        <v>1</v>
      </c>
      <c r="F21" s="721">
        <v>99.469999999999985</v>
      </c>
    </row>
    <row r="22" spans="1:6" ht="14.45" customHeight="1" x14ac:dyDescent="0.2">
      <c r="A22" s="750" t="s">
        <v>1579</v>
      </c>
      <c r="B22" s="720">
        <v>416.63000000000005</v>
      </c>
      <c r="C22" s="745">
        <v>0.82717201397712836</v>
      </c>
      <c r="D22" s="720">
        <v>87.05</v>
      </c>
      <c r="E22" s="745">
        <v>0.17282798602287164</v>
      </c>
      <c r="F22" s="721">
        <v>503.68000000000006</v>
      </c>
    </row>
    <row r="23" spans="1:6" ht="14.45" customHeight="1" x14ac:dyDescent="0.2">
      <c r="A23" s="750" t="s">
        <v>1580</v>
      </c>
      <c r="B23" s="720">
        <v>93.52000000000001</v>
      </c>
      <c r="C23" s="745">
        <v>1</v>
      </c>
      <c r="D23" s="720"/>
      <c r="E23" s="745">
        <v>0</v>
      </c>
      <c r="F23" s="721">
        <v>93.52000000000001</v>
      </c>
    </row>
    <row r="24" spans="1:6" ht="14.45" customHeight="1" x14ac:dyDescent="0.2">
      <c r="A24" s="750" t="s">
        <v>1581</v>
      </c>
      <c r="B24" s="720"/>
      <c r="C24" s="745">
        <v>0</v>
      </c>
      <c r="D24" s="720">
        <v>51.08</v>
      </c>
      <c r="E24" s="745">
        <v>1</v>
      </c>
      <c r="F24" s="721">
        <v>51.08</v>
      </c>
    </row>
    <row r="25" spans="1:6" ht="14.45" customHeight="1" x14ac:dyDescent="0.2">
      <c r="A25" s="750" t="s">
        <v>1582</v>
      </c>
      <c r="B25" s="720">
        <v>174.17</v>
      </c>
      <c r="C25" s="745">
        <v>1</v>
      </c>
      <c r="D25" s="720"/>
      <c r="E25" s="745">
        <v>0</v>
      </c>
      <c r="F25" s="721">
        <v>174.17</v>
      </c>
    </row>
    <row r="26" spans="1:6" ht="14.45" customHeight="1" x14ac:dyDescent="0.2">
      <c r="A26" s="750" t="s">
        <v>1583</v>
      </c>
      <c r="B26" s="720"/>
      <c r="C26" s="745">
        <v>0</v>
      </c>
      <c r="D26" s="720">
        <v>32.97</v>
      </c>
      <c r="E26" s="745">
        <v>1</v>
      </c>
      <c r="F26" s="721">
        <v>32.97</v>
      </c>
    </row>
    <row r="27" spans="1:6" ht="14.45" customHeight="1" x14ac:dyDescent="0.2">
      <c r="A27" s="750" t="s">
        <v>1584</v>
      </c>
      <c r="B27" s="720"/>
      <c r="C27" s="745">
        <v>0</v>
      </c>
      <c r="D27" s="720">
        <v>587.81999999999994</v>
      </c>
      <c r="E27" s="745">
        <v>1</v>
      </c>
      <c r="F27" s="721">
        <v>587.81999999999994</v>
      </c>
    </row>
    <row r="28" spans="1:6" ht="14.45" customHeight="1" x14ac:dyDescent="0.2">
      <c r="A28" s="750" t="s">
        <v>1585</v>
      </c>
      <c r="B28" s="720"/>
      <c r="C28" s="745">
        <v>0</v>
      </c>
      <c r="D28" s="720">
        <v>14.770000000000003</v>
      </c>
      <c r="E28" s="745">
        <v>1</v>
      </c>
      <c r="F28" s="721">
        <v>14.770000000000003</v>
      </c>
    </row>
    <row r="29" spans="1:6" ht="14.45" customHeight="1" x14ac:dyDescent="0.2">
      <c r="A29" s="750" t="s">
        <v>1586</v>
      </c>
      <c r="B29" s="720"/>
      <c r="C29" s="745">
        <v>0</v>
      </c>
      <c r="D29" s="720">
        <v>84.140000000000043</v>
      </c>
      <c r="E29" s="745">
        <v>1</v>
      </c>
      <c r="F29" s="721">
        <v>84.140000000000043</v>
      </c>
    </row>
    <row r="30" spans="1:6" ht="14.45" customHeight="1" x14ac:dyDescent="0.2">
      <c r="A30" s="750" t="s">
        <v>1587</v>
      </c>
      <c r="B30" s="720"/>
      <c r="C30" s="745">
        <v>0</v>
      </c>
      <c r="D30" s="720">
        <v>48.54</v>
      </c>
      <c r="E30" s="745">
        <v>1</v>
      </c>
      <c r="F30" s="721">
        <v>48.54</v>
      </c>
    </row>
    <row r="31" spans="1:6" ht="14.45" customHeight="1" x14ac:dyDescent="0.2">
      <c r="A31" s="750" t="s">
        <v>1588</v>
      </c>
      <c r="B31" s="720">
        <v>186.7</v>
      </c>
      <c r="C31" s="745">
        <v>1</v>
      </c>
      <c r="D31" s="720"/>
      <c r="E31" s="745">
        <v>0</v>
      </c>
      <c r="F31" s="721">
        <v>186.7</v>
      </c>
    </row>
    <row r="32" spans="1:6" ht="14.45" customHeight="1" x14ac:dyDescent="0.2">
      <c r="A32" s="750" t="s">
        <v>1589</v>
      </c>
      <c r="B32" s="720">
        <v>44.66</v>
      </c>
      <c r="C32" s="745">
        <v>0.14657520758804032</v>
      </c>
      <c r="D32" s="720">
        <v>260.02999999999997</v>
      </c>
      <c r="E32" s="745">
        <v>0.85342479241195979</v>
      </c>
      <c r="F32" s="721">
        <v>304.68999999999994</v>
      </c>
    </row>
    <row r="33" spans="1:6" ht="14.45" customHeight="1" x14ac:dyDescent="0.2">
      <c r="A33" s="750" t="s">
        <v>1590</v>
      </c>
      <c r="B33" s="720">
        <v>34.690000000000005</v>
      </c>
      <c r="C33" s="745">
        <v>1</v>
      </c>
      <c r="D33" s="720"/>
      <c r="E33" s="745">
        <v>0</v>
      </c>
      <c r="F33" s="721">
        <v>34.690000000000005</v>
      </c>
    </row>
    <row r="34" spans="1:6" ht="14.45" customHeight="1" x14ac:dyDescent="0.2">
      <c r="A34" s="750" t="s">
        <v>1591</v>
      </c>
      <c r="B34" s="720"/>
      <c r="C34" s="745">
        <v>0</v>
      </c>
      <c r="D34" s="720">
        <v>286719.28000000003</v>
      </c>
      <c r="E34" s="745">
        <v>1</v>
      </c>
      <c r="F34" s="721">
        <v>286719.28000000003</v>
      </c>
    </row>
    <row r="35" spans="1:6" ht="14.45" customHeight="1" x14ac:dyDescent="0.2">
      <c r="A35" s="750" t="s">
        <v>1592</v>
      </c>
      <c r="B35" s="720"/>
      <c r="C35" s="745">
        <v>0</v>
      </c>
      <c r="D35" s="720">
        <v>2977.3999999999996</v>
      </c>
      <c r="E35" s="745">
        <v>1</v>
      </c>
      <c r="F35" s="721">
        <v>2977.3999999999996</v>
      </c>
    </row>
    <row r="36" spans="1:6" ht="14.45" customHeight="1" x14ac:dyDescent="0.2">
      <c r="A36" s="750" t="s">
        <v>1593</v>
      </c>
      <c r="B36" s="720"/>
      <c r="C36" s="745">
        <v>0</v>
      </c>
      <c r="D36" s="720">
        <v>268664.15299999999</v>
      </c>
      <c r="E36" s="745">
        <v>1</v>
      </c>
      <c r="F36" s="721">
        <v>268664.15299999999</v>
      </c>
    </row>
    <row r="37" spans="1:6" ht="14.45" customHeight="1" x14ac:dyDescent="0.2">
      <c r="A37" s="750" t="s">
        <v>1594</v>
      </c>
      <c r="B37" s="720"/>
      <c r="C37" s="745">
        <v>0</v>
      </c>
      <c r="D37" s="720">
        <v>5893.8549999999996</v>
      </c>
      <c r="E37" s="745">
        <v>1</v>
      </c>
      <c r="F37" s="721">
        <v>5893.8549999999996</v>
      </c>
    </row>
    <row r="38" spans="1:6" ht="14.45" customHeight="1" x14ac:dyDescent="0.2">
      <c r="A38" s="750" t="s">
        <v>1595</v>
      </c>
      <c r="B38" s="720">
        <v>7284.4999999999991</v>
      </c>
      <c r="C38" s="745">
        <v>1</v>
      </c>
      <c r="D38" s="720"/>
      <c r="E38" s="745">
        <v>0</v>
      </c>
      <c r="F38" s="721">
        <v>7284.4999999999991</v>
      </c>
    </row>
    <row r="39" spans="1:6" ht="14.45" customHeight="1" x14ac:dyDescent="0.2">
      <c r="A39" s="750" t="s">
        <v>1596</v>
      </c>
      <c r="B39" s="720">
        <v>411.3999837620471</v>
      </c>
      <c r="C39" s="745">
        <v>0.85456414452898111</v>
      </c>
      <c r="D39" s="720">
        <v>70.015000000000001</v>
      </c>
      <c r="E39" s="745">
        <v>0.14543585547101892</v>
      </c>
      <c r="F39" s="721">
        <v>481.41498376204709</v>
      </c>
    </row>
    <row r="40" spans="1:6" ht="14.45" customHeight="1" x14ac:dyDescent="0.2">
      <c r="A40" s="750" t="s">
        <v>1597</v>
      </c>
      <c r="B40" s="720">
        <v>95411.282000000007</v>
      </c>
      <c r="C40" s="745">
        <v>0.84865217238161272</v>
      </c>
      <c r="D40" s="720">
        <v>17015.558000000001</v>
      </c>
      <c r="E40" s="745">
        <v>0.15134782761838719</v>
      </c>
      <c r="F40" s="721">
        <v>112426.84000000001</v>
      </c>
    </row>
    <row r="41" spans="1:6" ht="14.45" customHeight="1" x14ac:dyDescent="0.2">
      <c r="A41" s="750" t="s">
        <v>1598</v>
      </c>
      <c r="B41" s="720"/>
      <c r="C41" s="745">
        <v>0</v>
      </c>
      <c r="D41" s="720">
        <v>9192.4799999999977</v>
      </c>
      <c r="E41" s="745">
        <v>1</v>
      </c>
      <c r="F41" s="721">
        <v>9192.4799999999977</v>
      </c>
    </row>
    <row r="42" spans="1:6" ht="14.45" customHeight="1" x14ac:dyDescent="0.2">
      <c r="A42" s="750" t="s">
        <v>1599</v>
      </c>
      <c r="B42" s="720"/>
      <c r="C42" s="745">
        <v>0</v>
      </c>
      <c r="D42" s="720">
        <v>9163.6750000000011</v>
      </c>
      <c r="E42" s="745">
        <v>1</v>
      </c>
      <c r="F42" s="721">
        <v>9163.6750000000011</v>
      </c>
    </row>
    <row r="43" spans="1:6" ht="14.45" customHeight="1" x14ac:dyDescent="0.2">
      <c r="A43" s="750" t="s">
        <v>1600</v>
      </c>
      <c r="B43" s="720"/>
      <c r="C43" s="745">
        <v>0</v>
      </c>
      <c r="D43" s="720">
        <v>1324.652</v>
      </c>
      <c r="E43" s="745">
        <v>1</v>
      </c>
      <c r="F43" s="721">
        <v>1324.652</v>
      </c>
    </row>
    <row r="44" spans="1:6" ht="14.45" customHeight="1" x14ac:dyDescent="0.2">
      <c r="A44" s="750" t="s">
        <v>1601</v>
      </c>
      <c r="B44" s="720"/>
      <c r="C44" s="745">
        <v>0</v>
      </c>
      <c r="D44" s="720">
        <v>6481.579999999999</v>
      </c>
      <c r="E44" s="745">
        <v>1</v>
      </c>
      <c r="F44" s="721">
        <v>6481.579999999999</v>
      </c>
    </row>
    <row r="45" spans="1:6" ht="14.45" customHeight="1" x14ac:dyDescent="0.2">
      <c r="A45" s="750" t="s">
        <v>1602</v>
      </c>
      <c r="B45" s="720">
        <v>65120.443666666673</v>
      </c>
      <c r="C45" s="745">
        <v>0.85357606612086523</v>
      </c>
      <c r="D45" s="720">
        <v>11170.875000000002</v>
      </c>
      <c r="E45" s="745">
        <v>0.14642393387913477</v>
      </c>
      <c r="F45" s="721">
        <v>76291.318666666673</v>
      </c>
    </row>
    <row r="46" spans="1:6" ht="14.45" customHeight="1" x14ac:dyDescent="0.2">
      <c r="A46" s="750" t="s">
        <v>1603</v>
      </c>
      <c r="B46" s="720"/>
      <c r="C46" s="745">
        <v>0</v>
      </c>
      <c r="D46" s="720">
        <v>5901.3760000000002</v>
      </c>
      <c r="E46" s="745">
        <v>1</v>
      </c>
      <c r="F46" s="721">
        <v>5901.3760000000002</v>
      </c>
    </row>
    <row r="47" spans="1:6" ht="14.45" customHeight="1" x14ac:dyDescent="0.2">
      <c r="A47" s="750" t="s">
        <v>1604</v>
      </c>
      <c r="B47" s="720"/>
      <c r="C47" s="745">
        <v>0</v>
      </c>
      <c r="D47" s="720">
        <v>26685.644999999997</v>
      </c>
      <c r="E47" s="745">
        <v>1</v>
      </c>
      <c r="F47" s="721">
        <v>26685.644999999997</v>
      </c>
    </row>
    <row r="48" spans="1:6" ht="14.45" customHeight="1" x14ac:dyDescent="0.2">
      <c r="A48" s="750" t="s">
        <v>1605</v>
      </c>
      <c r="B48" s="720">
        <v>9155.52</v>
      </c>
      <c r="C48" s="745">
        <v>1</v>
      </c>
      <c r="D48" s="720"/>
      <c r="E48" s="745">
        <v>0</v>
      </c>
      <c r="F48" s="721">
        <v>9155.52</v>
      </c>
    </row>
    <row r="49" spans="1:6" ht="14.45" customHeight="1" x14ac:dyDescent="0.2">
      <c r="A49" s="750" t="s">
        <v>1606</v>
      </c>
      <c r="B49" s="720">
        <v>8473.119999999999</v>
      </c>
      <c r="C49" s="745">
        <v>1</v>
      </c>
      <c r="D49" s="720"/>
      <c r="E49" s="745">
        <v>0</v>
      </c>
      <c r="F49" s="721">
        <v>8473.119999999999</v>
      </c>
    </row>
    <row r="50" spans="1:6" ht="14.45" customHeight="1" x14ac:dyDescent="0.2">
      <c r="A50" s="750" t="s">
        <v>1607</v>
      </c>
      <c r="B50" s="720"/>
      <c r="C50" s="745">
        <v>0</v>
      </c>
      <c r="D50" s="720">
        <v>1153.4400000000003</v>
      </c>
      <c r="E50" s="745">
        <v>1</v>
      </c>
      <c r="F50" s="721">
        <v>1153.4400000000003</v>
      </c>
    </row>
    <row r="51" spans="1:6" ht="14.45" customHeight="1" x14ac:dyDescent="0.2">
      <c r="A51" s="750" t="s">
        <v>1608</v>
      </c>
      <c r="B51" s="720"/>
      <c r="C51" s="745">
        <v>0</v>
      </c>
      <c r="D51" s="720">
        <v>292.77999999999997</v>
      </c>
      <c r="E51" s="745">
        <v>1</v>
      </c>
      <c r="F51" s="721">
        <v>292.77999999999997</v>
      </c>
    </row>
    <row r="52" spans="1:6" ht="14.45" customHeight="1" x14ac:dyDescent="0.2">
      <c r="A52" s="750" t="s">
        <v>1609</v>
      </c>
      <c r="B52" s="720"/>
      <c r="C52" s="745">
        <v>0</v>
      </c>
      <c r="D52" s="720">
        <v>48.600000000000016</v>
      </c>
      <c r="E52" s="745">
        <v>1</v>
      </c>
      <c r="F52" s="721">
        <v>48.600000000000016</v>
      </c>
    </row>
    <row r="53" spans="1:6" ht="14.45" customHeight="1" x14ac:dyDescent="0.2">
      <c r="A53" s="750" t="s">
        <v>1610</v>
      </c>
      <c r="B53" s="720">
        <v>841.5</v>
      </c>
      <c r="C53" s="745">
        <v>6.9178806869048598E-3</v>
      </c>
      <c r="D53" s="720">
        <v>120799.79999999999</v>
      </c>
      <c r="E53" s="745">
        <v>0.99308211931309509</v>
      </c>
      <c r="F53" s="721">
        <v>121641.29999999999</v>
      </c>
    </row>
    <row r="54" spans="1:6" ht="14.45" customHeight="1" x14ac:dyDescent="0.2">
      <c r="A54" s="750" t="s">
        <v>1611</v>
      </c>
      <c r="B54" s="720">
        <v>266.27999999999997</v>
      </c>
      <c r="C54" s="745">
        <v>9.0207805204259982E-3</v>
      </c>
      <c r="D54" s="720">
        <v>29252.229999999992</v>
      </c>
      <c r="E54" s="745">
        <v>0.99097921947957401</v>
      </c>
      <c r="F54" s="721">
        <v>29518.509999999991</v>
      </c>
    </row>
    <row r="55" spans="1:6" ht="14.45" customHeight="1" x14ac:dyDescent="0.2">
      <c r="A55" s="750" t="s">
        <v>1612</v>
      </c>
      <c r="B55" s="720"/>
      <c r="C55" s="745">
        <v>0</v>
      </c>
      <c r="D55" s="720">
        <v>27368</v>
      </c>
      <c r="E55" s="745">
        <v>1</v>
      </c>
      <c r="F55" s="721">
        <v>27368</v>
      </c>
    </row>
    <row r="56" spans="1:6" ht="14.45" customHeight="1" x14ac:dyDescent="0.2">
      <c r="A56" s="750" t="s">
        <v>1613</v>
      </c>
      <c r="B56" s="720"/>
      <c r="C56" s="745">
        <v>0</v>
      </c>
      <c r="D56" s="720">
        <v>362.65000000000009</v>
      </c>
      <c r="E56" s="745">
        <v>1</v>
      </c>
      <c r="F56" s="721">
        <v>362.65000000000009</v>
      </c>
    </row>
    <row r="57" spans="1:6" ht="14.45" customHeight="1" x14ac:dyDescent="0.2">
      <c r="A57" s="750" t="s">
        <v>1614</v>
      </c>
      <c r="B57" s="720"/>
      <c r="C57" s="745">
        <v>0</v>
      </c>
      <c r="D57" s="720">
        <v>126.19999999999999</v>
      </c>
      <c r="E57" s="745">
        <v>1</v>
      </c>
      <c r="F57" s="721">
        <v>126.19999999999999</v>
      </c>
    </row>
    <row r="58" spans="1:6" ht="14.45" customHeight="1" x14ac:dyDescent="0.2">
      <c r="A58" s="750" t="s">
        <v>1615</v>
      </c>
      <c r="B58" s="720">
        <v>169.44</v>
      </c>
      <c r="C58" s="745">
        <v>1</v>
      </c>
      <c r="D58" s="720"/>
      <c r="E58" s="745">
        <v>0</v>
      </c>
      <c r="F58" s="721">
        <v>169.44</v>
      </c>
    </row>
    <row r="59" spans="1:6" ht="14.45" customHeight="1" x14ac:dyDescent="0.2">
      <c r="A59" s="750" t="s">
        <v>1616</v>
      </c>
      <c r="B59" s="720">
        <v>125.91</v>
      </c>
      <c r="C59" s="745">
        <v>1</v>
      </c>
      <c r="D59" s="720"/>
      <c r="E59" s="745">
        <v>0</v>
      </c>
      <c r="F59" s="721">
        <v>125.91</v>
      </c>
    </row>
    <row r="60" spans="1:6" ht="14.45" customHeight="1" x14ac:dyDescent="0.2">
      <c r="A60" s="750" t="s">
        <v>1617</v>
      </c>
      <c r="B60" s="720"/>
      <c r="C60" s="745">
        <v>0</v>
      </c>
      <c r="D60" s="720">
        <v>1291.95</v>
      </c>
      <c r="E60" s="745">
        <v>1</v>
      </c>
      <c r="F60" s="721">
        <v>1291.95</v>
      </c>
    </row>
    <row r="61" spans="1:6" ht="14.45" customHeight="1" x14ac:dyDescent="0.2">
      <c r="A61" s="750" t="s">
        <v>1618</v>
      </c>
      <c r="B61" s="720"/>
      <c r="C61" s="745">
        <v>0</v>
      </c>
      <c r="D61" s="720">
        <v>182.58</v>
      </c>
      <c r="E61" s="745">
        <v>1</v>
      </c>
      <c r="F61" s="721">
        <v>182.58</v>
      </c>
    </row>
    <row r="62" spans="1:6" ht="14.45" customHeight="1" x14ac:dyDescent="0.2">
      <c r="A62" s="750" t="s">
        <v>1619</v>
      </c>
      <c r="B62" s="720">
        <v>32210.239999999998</v>
      </c>
      <c r="C62" s="745">
        <v>0.729957258952731</v>
      </c>
      <c r="D62" s="720">
        <v>11915.960000000001</v>
      </c>
      <c r="E62" s="745">
        <v>0.270042741047269</v>
      </c>
      <c r="F62" s="721">
        <v>44126.2</v>
      </c>
    </row>
    <row r="63" spans="1:6" ht="14.45" customHeight="1" x14ac:dyDescent="0.2">
      <c r="A63" s="750" t="s">
        <v>1620</v>
      </c>
      <c r="B63" s="720">
        <v>45.489999999999995</v>
      </c>
      <c r="C63" s="745">
        <v>0.16726109497371033</v>
      </c>
      <c r="D63" s="720">
        <v>226.48</v>
      </c>
      <c r="E63" s="745">
        <v>0.83273890502628967</v>
      </c>
      <c r="F63" s="721">
        <v>271.96999999999997</v>
      </c>
    </row>
    <row r="64" spans="1:6" ht="14.45" customHeight="1" x14ac:dyDescent="0.2">
      <c r="A64" s="750" t="s">
        <v>1621</v>
      </c>
      <c r="B64" s="720">
        <v>41491.89</v>
      </c>
      <c r="C64" s="745">
        <v>0.94869202387329943</v>
      </c>
      <c r="D64" s="720">
        <v>2244</v>
      </c>
      <c r="E64" s="745">
        <v>5.1307976126700523E-2</v>
      </c>
      <c r="F64" s="721">
        <v>43735.89</v>
      </c>
    </row>
    <row r="65" spans="1:6" ht="14.45" customHeight="1" x14ac:dyDescent="0.2">
      <c r="A65" s="750" t="s">
        <v>1622</v>
      </c>
      <c r="B65" s="720">
        <v>237.59000000000003</v>
      </c>
      <c r="C65" s="745">
        <v>1</v>
      </c>
      <c r="D65" s="720"/>
      <c r="E65" s="745">
        <v>0</v>
      </c>
      <c r="F65" s="721">
        <v>237.59000000000003</v>
      </c>
    </row>
    <row r="66" spans="1:6" ht="14.45" customHeight="1" x14ac:dyDescent="0.2">
      <c r="A66" s="750" t="s">
        <v>1623</v>
      </c>
      <c r="B66" s="720"/>
      <c r="C66" s="745">
        <v>0</v>
      </c>
      <c r="D66" s="720">
        <v>512.62</v>
      </c>
      <c r="E66" s="745">
        <v>1</v>
      </c>
      <c r="F66" s="721">
        <v>512.62</v>
      </c>
    </row>
    <row r="67" spans="1:6" ht="14.45" customHeight="1" x14ac:dyDescent="0.2">
      <c r="A67" s="750" t="s">
        <v>1624</v>
      </c>
      <c r="B67" s="720"/>
      <c r="C67" s="745">
        <v>0</v>
      </c>
      <c r="D67" s="720">
        <v>138.51</v>
      </c>
      <c r="E67" s="745">
        <v>1</v>
      </c>
      <c r="F67" s="721">
        <v>138.51</v>
      </c>
    </row>
    <row r="68" spans="1:6" ht="14.45" customHeight="1" x14ac:dyDescent="0.2">
      <c r="A68" s="750" t="s">
        <v>1625</v>
      </c>
      <c r="B68" s="720"/>
      <c r="C68" s="745">
        <v>0</v>
      </c>
      <c r="D68" s="720">
        <v>77.19</v>
      </c>
      <c r="E68" s="745">
        <v>1</v>
      </c>
      <c r="F68" s="721">
        <v>77.19</v>
      </c>
    </row>
    <row r="69" spans="1:6" ht="14.45" customHeight="1" x14ac:dyDescent="0.2">
      <c r="A69" s="750" t="s">
        <v>1626</v>
      </c>
      <c r="B69" s="720"/>
      <c r="C69" s="745">
        <v>0</v>
      </c>
      <c r="D69" s="720">
        <v>3652.420000000001</v>
      </c>
      <c r="E69" s="745">
        <v>1</v>
      </c>
      <c r="F69" s="721">
        <v>3652.420000000001</v>
      </c>
    </row>
    <row r="70" spans="1:6" ht="14.45" customHeight="1" x14ac:dyDescent="0.2">
      <c r="A70" s="750" t="s">
        <v>1627</v>
      </c>
      <c r="B70" s="720"/>
      <c r="C70" s="745">
        <v>0</v>
      </c>
      <c r="D70" s="720">
        <v>318.53999999999996</v>
      </c>
      <c r="E70" s="745">
        <v>1</v>
      </c>
      <c r="F70" s="721">
        <v>318.53999999999996</v>
      </c>
    </row>
    <row r="71" spans="1:6" ht="14.45" customHeight="1" x14ac:dyDescent="0.2">
      <c r="A71" s="750" t="s">
        <v>1628</v>
      </c>
      <c r="B71" s="720">
        <v>499.19999999999987</v>
      </c>
      <c r="C71" s="745">
        <v>1</v>
      </c>
      <c r="D71" s="720"/>
      <c r="E71" s="745">
        <v>0</v>
      </c>
      <c r="F71" s="721">
        <v>499.19999999999987</v>
      </c>
    </row>
    <row r="72" spans="1:6" ht="14.45" customHeight="1" x14ac:dyDescent="0.2">
      <c r="A72" s="750" t="s">
        <v>1629</v>
      </c>
      <c r="B72" s="720"/>
      <c r="C72" s="745">
        <v>0</v>
      </c>
      <c r="D72" s="720">
        <v>2242.4299999999998</v>
      </c>
      <c r="E72" s="745">
        <v>1</v>
      </c>
      <c r="F72" s="721">
        <v>2242.4299999999998</v>
      </c>
    </row>
    <row r="73" spans="1:6" ht="14.45" customHeight="1" x14ac:dyDescent="0.2">
      <c r="A73" s="750" t="s">
        <v>1630</v>
      </c>
      <c r="B73" s="720"/>
      <c r="C73" s="745">
        <v>0</v>
      </c>
      <c r="D73" s="720">
        <v>359.85</v>
      </c>
      <c r="E73" s="745">
        <v>1</v>
      </c>
      <c r="F73" s="721">
        <v>359.85</v>
      </c>
    </row>
    <row r="74" spans="1:6" ht="14.45" customHeight="1" x14ac:dyDescent="0.2">
      <c r="A74" s="750" t="s">
        <v>1631</v>
      </c>
      <c r="B74" s="720"/>
      <c r="C74" s="745">
        <v>0</v>
      </c>
      <c r="D74" s="720">
        <v>1349.74</v>
      </c>
      <c r="E74" s="745">
        <v>1</v>
      </c>
      <c r="F74" s="721">
        <v>1349.74</v>
      </c>
    </row>
    <row r="75" spans="1:6" ht="14.45" customHeight="1" x14ac:dyDescent="0.2">
      <c r="A75" s="750" t="s">
        <v>1632</v>
      </c>
      <c r="B75" s="720">
        <v>246.04</v>
      </c>
      <c r="C75" s="745">
        <v>1</v>
      </c>
      <c r="D75" s="720"/>
      <c r="E75" s="745">
        <v>0</v>
      </c>
      <c r="F75" s="721">
        <v>246.04</v>
      </c>
    </row>
    <row r="76" spans="1:6" ht="14.45" customHeight="1" x14ac:dyDescent="0.2">
      <c r="A76" s="750" t="s">
        <v>1633</v>
      </c>
      <c r="B76" s="720"/>
      <c r="C76" s="745">
        <v>0</v>
      </c>
      <c r="D76" s="720">
        <v>312.47000000000003</v>
      </c>
      <c r="E76" s="745">
        <v>1</v>
      </c>
      <c r="F76" s="721">
        <v>312.47000000000003</v>
      </c>
    </row>
    <row r="77" spans="1:6" ht="14.45" customHeight="1" x14ac:dyDescent="0.2">
      <c r="A77" s="750" t="s">
        <v>1634</v>
      </c>
      <c r="B77" s="720">
        <v>11375.64</v>
      </c>
      <c r="C77" s="745">
        <v>0.10087046088512373</v>
      </c>
      <c r="D77" s="720">
        <v>101399.1</v>
      </c>
      <c r="E77" s="745">
        <v>0.89912953911487625</v>
      </c>
      <c r="F77" s="721">
        <v>112774.74</v>
      </c>
    </row>
    <row r="78" spans="1:6" ht="14.45" customHeight="1" x14ac:dyDescent="0.2">
      <c r="A78" s="750" t="s">
        <v>1635</v>
      </c>
      <c r="B78" s="720">
        <v>46029.539999999994</v>
      </c>
      <c r="C78" s="745">
        <v>1</v>
      </c>
      <c r="D78" s="720"/>
      <c r="E78" s="745">
        <v>0</v>
      </c>
      <c r="F78" s="721">
        <v>46029.539999999994</v>
      </c>
    </row>
    <row r="79" spans="1:6" ht="14.45" customHeight="1" x14ac:dyDescent="0.2">
      <c r="A79" s="750" t="s">
        <v>1636</v>
      </c>
      <c r="B79" s="720"/>
      <c r="C79" s="745">
        <v>0</v>
      </c>
      <c r="D79" s="720">
        <v>32080.71</v>
      </c>
      <c r="E79" s="745">
        <v>1</v>
      </c>
      <c r="F79" s="721">
        <v>32080.71</v>
      </c>
    </row>
    <row r="80" spans="1:6" ht="14.45" customHeight="1" x14ac:dyDescent="0.2">
      <c r="A80" s="750" t="s">
        <v>1637</v>
      </c>
      <c r="B80" s="720"/>
      <c r="C80" s="745">
        <v>0</v>
      </c>
      <c r="D80" s="720">
        <v>60457.649832844596</v>
      </c>
      <c r="E80" s="745">
        <v>1</v>
      </c>
      <c r="F80" s="721">
        <v>60457.649832844596</v>
      </c>
    </row>
    <row r="81" spans="1:6" ht="14.45" customHeight="1" x14ac:dyDescent="0.2">
      <c r="A81" s="750" t="s">
        <v>1638</v>
      </c>
      <c r="B81" s="720"/>
      <c r="C81" s="745">
        <v>0</v>
      </c>
      <c r="D81" s="720">
        <v>1762.4300000000003</v>
      </c>
      <c r="E81" s="745">
        <v>1</v>
      </c>
      <c r="F81" s="721">
        <v>1762.4300000000003</v>
      </c>
    </row>
    <row r="82" spans="1:6" ht="14.45" customHeight="1" x14ac:dyDescent="0.2">
      <c r="A82" s="750" t="s">
        <v>1639</v>
      </c>
      <c r="B82" s="720"/>
      <c r="C82" s="745">
        <v>0</v>
      </c>
      <c r="D82" s="720">
        <v>436641.37000000005</v>
      </c>
      <c r="E82" s="745">
        <v>1</v>
      </c>
      <c r="F82" s="721">
        <v>436641.37000000005</v>
      </c>
    </row>
    <row r="83" spans="1:6" ht="14.45" customHeight="1" x14ac:dyDescent="0.2">
      <c r="A83" s="750" t="s">
        <v>1640</v>
      </c>
      <c r="B83" s="720">
        <v>240.76000000000005</v>
      </c>
      <c r="C83" s="745">
        <v>1</v>
      </c>
      <c r="D83" s="720"/>
      <c r="E83" s="745">
        <v>0</v>
      </c>
      <c r="F83" s="721">
        <v>240.76000000000005</v>
      </c>
    </row>
    <row r="84" spans="1:6" ht="14.45" customHeight="1" thickBot="1" x14ac:dyDescent="0.25">
      <c r="A84" s="751" t="s">
        <v>1641</v>
      </c>
      <c r="B84" s="746">
        <v>17184.100000000002</v>
      </c>
      <c r="C84" s="747">
        <v>0.16234667426497082</v>
      </c>
      <c r="D84" s="746">
        <v>88664.080000000016</v>
      </c>
      <c r="E84" s="747">
        <v>0.83765332573502915</v>
      </c>
      <c r="F84" s="748">
        <v>105848.18000000002</v>
      </c>
    </row>
    <row r="85" spans="1:6" ht="14.45" customHeight="1" thickBot="1" x14ac:dyDescent="0.25">
      <c r="A85" s="739" t="s">
        <v>3</v>
      </c>
      <c r="B85" s="740">
        <v>341732.52565042867</v>
      </c>
      <c r="C85" s="741">
        <v>0.15847375029572056</v>
      </c>
      <c r="D85" s="740">
        <v>1814665.7738328446</v>
      </c>
      <c r="E85" s="741">
        <v>0.84152624970427947</v>
      </c>
      <c r="F85" s="742">
        <v>2156398.2994832732</v>
      </c>
    </row>
  </sheetData>
  <mergeCells count="3">
    <mergeCell ref="A1:F1"/>
    <mergeCell ref="B3:C3"/>
    <mergeCell ref="D3:E3"/>
  </mergeCells>
  <conditionalFormatting sqref="C5:C1048576">
    <cfRule type="cellIs" dxfId="44" priority="8" stopIfTrue="1" operator="greaterThan">
      <formula>0.1</formula>
    </cfRule>
  </conditionalFormatting>
  <hyperlinks>
    <hyperlink ref="A2" location="Obsah!A1" display="Zpět na Obsah  KL 01  1.-4.měsíc" xr:uid="{0FB4174E-3C7E-4955-A375-8524908F1086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27</vt:i4>
      </vt:variant>
      <vt:variant>
        <vt:lpstr>Pojmenované oblasti</vt:lpstr>
      </vt:variant>
      <vt:variant>
        <vt:i4>5</vt:i4>
      </vt:variant>
    </vt:vector>
  </HeadingPairs>
  <TitlesOfParts>
    <vt:vector size="3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2020-02-03T11:36:35Z</dcterms:modified>
</cp:coreProperties>
</file>